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JF - Arkiv\Tiltøk, projekt\Fiskiveiðiavtalan Russland FO\"/>
    </mc:Choice>
  </mc:AlternateContent>
  <bookViews>
    <workbookView xWindow="0" yWindow="0" windowWidth="19200" windowHeight="7310"/>
  </bookViews>
  <sheets>
    <sheet name="framsíða" sheetId="3" r:id="rId1"/>
    <sheet name="Útrokning" sheetId="2" r:id="rId2"/>
    <sheet name="notir" sheetId="10" r:id="rId3"/>
    <sheet name="2020" sheetId="12" state="hidden" r:id="rId4"/>
    <sheet name="2021" sheetId="6" r:id="rId5"/>
    <sheet name="2022" sheetId="7" state="hidden" r:id="rId6"/>
    <sheet name="virðisøking" sheetId="8" r:id="rId7"/>
    <sheet name="Ark3" sheetId="11" state="hidden" r:id="rId8"/>
    <sheet name="Tilfeingisgjald" sheetId="4" r:id="rId9"/>
    <sheet name="Ark2" sheetId="5" state="hidden" r:id="rId10"/>
  </sheets>
  <definedNames>
    <definedName name="tilfgjald">Tilfeingisgjald!$A$2:$E$224</definedName>
    <definedName name="_xlnm.Print_Area" localSheetId="1">Útrokning!$B$2:$H$83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4" i="10" l="1"/>
  <c r="J33" i="10"/>
  <c r="J29" i="10"/>
  <c r="J28" i="10"/>
  <c r="H60" i="10"/>
  <c r="J54" i="10"/>
  <c r="J53" i="10"/>
  <c r="J52" i="10"/>
  <c r="J48" i="10"/>
  <c r="J47" i="10"/>
  <c r="J46" i="10"/>
  <c r="E54" i="10"/>
  <c r="E53" i="10"/>
  <c r="E52" i="10"/>
  <c r="E48" i="10"/>
  <c r="E47" i="10"/>
  <c r="E46" i="10"/>
  <c r="I41" i="10"/>
  <c r="I42" i="10"/>
  <c r="I43" i="10"/>
  <c r="H43" i="10"/>
  <c r="H42" i="10"/>
  <c r="H41" i="10"/>
  <c r="F43" i="10"/>
  <c r="F42" i="10"/>
  <c r="F41" i="10"/>
  <c r="E43" i="10"/>
  <c r="E42" i="10"/>
  <c r="E41" i="10"/>
  <c r="D43" i="10"/>
  <c r="D42" i="10"/>
  <c r="D41" i="10"/>
  <c r="F24" i="10"/>
  <c r="F23" i="10"/>
  <c r="E24" i="10"/>
  <c r="E23" i="10"/>
  <c r="D24" i="10"/>
  <c r="D23" i="10"/>
  <c r="X103" i="8"/>
  <c r="AO106" i="8"/>
  <c r="AO107" i="8"/>
  <c r="X99" i="8"/>
  <c r="X101" i="8" s="1"/>
  <c r="X97" i="8"/>
  <c r="X95" i="8"/>
  <c r="X93" i="8"/>
  <c r="X92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C92" i="8"/>
  <c r="B74" i="2" l="1"/>
  <c r="E7" i="12"/>
  <c r="E8" i="12"/>
  <c r="E9" i="12"/>
  <c r="E10" i="12"/>
  <c r="E11" i="12"/>
  <c r="E6" i="12"/>
  <c r="J9" i="12"/>
  <c r="J8" i="12"/>
  <c r="J7" i="12"/>
  <c r="J6" i="12"/>
  <c r="J96" i="10"/>
  <c r="J95" i="10"/>
  <c r="J97" i="10" s="1"/>
  <c r="D122" i="10"/>
  <c r="D124" i="10" s="1"/>
  <c r="F133" i="10" s="1"/>
  <c r="E130" i="10"/>
  <c r="E131" i="10" s="1"/>
  <c r="F134" i="10" s="1"/>
  <c r="E109" i="10"/>
  <c r="E110" i="10" s="1"/>
  <c r="F116" i="10" s="1"/>
  <c r="I101" i="10"/>
  <c r="F115" i="10" s="1"/>
  <c r="J146" i="11"/>
  <c r="I146" i="11"/>
  <c r="E146" i="11"/>
  <c r="H135" i="11"/>
  <c r="E88" i="11"/>
  <c r="E136" i="11" s="1"/>
  <c r="F88" i="11"/>
  <c r="F136" i="11" s="1"/>
  <c r="G88" i="11"/>
  <c r="G136" i="11" s="1"/>
  <c r="H88" i="11"/>
  <c r="H136" i="11" s="1"/>
  <c r="I88" i="11"/>
  <c r="I136" i="11" s="1"/>
  <c r="J88" i="11"/>
  <c r="J136" i="11" s="1"/>
  <c r="K88" i="11"/>
  <c r="L88" i="11"/>
  <c r="L136" i="11" s="1"/>
  <c r="E87" i="11"/>
  <c r="E135" i="11" s="1"/>
  <c r="F87" i="11"/>
  <c r="F135" i="11" s="1"/>
  <c r="G87" i="11"/>
  <c r="H87" i="11"/>
  <c r="I87" i="11"/>
  <c r="I135" i="11" s="1"/>
  <c r="J87" i="11"/>
  <c r="J135" i="11" s="1"/>
  <c r="K87" i="11"/>
  <c r="K135" i="11" s="1"/>
  <c r="L87" i="11"/>
  <c r="L135" i="11" s="1"/>
  <c r="E76" i="11"/>
  <c r="E124" i="11" s="1"/>
  <c r="F76" i="11"/>
  <c r="F124" i="11" s="1"/>
  <c r="G76" i="11"/>
  <c r="G124" i="11" s="1"/>
  <c r="H76" i="11"/>
  <c r="H124" i="11" s="1"/>
  <c r="I76" i="11"/>
  <c r="I124" i="11" s="1"/>
  <c r="J76" i="11"/>
  <c r="J124" i="11" s="1"/>
  <c r="K76" i="11"/>
  <c r="K124" i="11" s="1"/>
  <c r="L76" i="11"/>
  <c r="L124" i="11" s="1"/>
  <c r="E77" i="11"/>
  <c r="E125" i="11" s="1"/>
  <c r="F77" i="11"/>
  <c r="F125" i="11" s="1"/>
  <c r="G77" i="11"/>
  <c r="H77" i="11"/>
  <c r="H125" i="11" s="1"/>
  <c r="I77" i="11"/>
  <c r="I125" i="11" s="1"/>
  <c r="J77" i="11"/>
  <c r="J125" i="11" s="1"/>
  <c r="K77" i="11"/>
  <c r="K125" i="11" s="1"/>
  <c r="L77" i="11"/>
  <c r="L125" i="11" s="1"/>
  <c r="E78" i="11"/>
  <c r="E126" i="11" s="1"/>
  <c r="F78" i="11"/>
  <c r="F126" i="11" s="1"/>
  <c r="G78" i="11"/>
  <c r="G126" i="11" s="1"/>
  <c r="H78" i="11"/>
  <c r="H126" i="11" s="1"/>
  <c r="I78" i="11"/>
  <c r="I126" i="11" s="1"/>
  <c r="J78" i="11"/>
  <c r="J126" i="11" s="1"/>
  <c r="K78" i="11"/>
  <c r="K126" i="11" s="1"/>
  <c r="L78" i="11"/>
  <c r="L126" i="11" s="1"/>
  <c r="E79" i="11"/>
  <c r="E127" i="11" s="1"/>
  <c r="F79" i="11"/>
  <c r="G79" i="11"/>
  <c r="G127" i="11" s="1"/>
  <c r="H79" i="11"/>
  <c r="H127" i="11" s="1"/>
  <c r="I79" i="11"/>
  <c r="I127" i="11" s="1"/>
  <c r="J79" i="11"/>
  <c r="J127" i="11" s="1"/>
  <c r="K79" i="11"/>
  <c r="K127" i="11" s="1"/>
  <c r="L79" i="11"/>
  <c r="L127" i="11" s="1"/>
  <c r="E80" i="11"/>
  <c r="E128" i="11" s="1"/>
  <c r="F80" i="11"/>
  <c r="F128" i="11" s="1"/>
  <c r="G80" i="11"/>
  <c r="G128" i="11" s="1"/>
  <c r="H80" i="11"/>
  <c r="H128" i="11" s="1"/>
  <c r="I80" i="11"/>
  <c r="I128" i="11" s="1"/>
  <c r="J80" i="11"/>
  <c r="J128" i="11" s="1"/>
  <c r="K80" i="11"/>
  <c r="K128" i="11" s="1"/>
  <c r="L80" i="11"/>
  <c r="L128" i="11" s="1"/>
  <c r="E81" i="11"/>
  <c r="E129" i="11" s="1"/>
  <c r="F81" i="11"/>
  <c r="F129" i="11" s="1"/>
  <c r="G81" i="11"/>
  <c r="H81" i="11"/>
  <c r="H129" i="11" s="1"/>
  <c r="I81" i="11"/>
  <c r="I129" i="11" s="1"/>
  <c r="J81" i="11"/>
  <c r="J129" i="11" s="1"/>
  <c r="K81" i="11"/>
  <c r="K129" i="11" s="1"/>
  <c r="L81" i="11"/>
  <c r="L129" i="11" s="1"/>
  <c r="E82" i="11"/>
  <c r="E130" i="11" s="1"/>
  <c r="F82" i="11"/>
  <c r="F130" i="11" s="1"/>
  <c r="G82" i="11"/>
  <c r="G130" i="11" s="1"/>
  <c r="H82" i="11"/>
  <c r="H130" i="11" s="1"/>
  <c r="I82" i="11"/>
  <c r="I130" i="11" s="1"/>
  <c r="J82" i="11"/>
  <c r="J130" i="11" s="1"/>
  <c r="K82" i="11"/>
  <c r="K130" i="11" s="1"/>
  <c r="L82" i="11"/>
  <c r="L130" i="11" s="1"/>
  <c r="E83" i="11"/>
  <c r="E131" i="11" s="1"/>
  <c r="F83" i="11"/>
  <c r="F131" i="11" s="1"/>
  <c r="G83" i="11"/>
  <c r="G131" i="11" s="1"/>
  <c r="H83" i="11"/>
  <c r="H131" i="11" s="1"/>
  <c r="I83" i="11"/>
  <c r="I131" i="11" s="1"/>
  <c r="J83" i="11"/>
  <c r="J131" i="11" s="1"/>
  <c r="K83" i="11"/>
  <c r="K131" i="11" s="1"/>
  <c r="L83" i="11"/>
  <c r="L131" i="11" s="1"/>
  <c r="E84" i="11"/>
  <c r="E132" i="11" s="1"/>
  <c r="F84" i="11"/>
  <c r="G84" i="11"/>
  <c r="G132" i="11" s="1"/>
  <c r="H84" i="11"/>
  <c r="H132" i="11" s="1"/>
  <c r="I84" i="11"/>
  <c r="I132" i="11" s="1"/>
  <c r="J84" i="11"/>
  <c r="J132" i="11" s="1"/>
  <c r="K84" i="11"/>
  <c r="K132" i="11" s="1"/>
  <c r="L84" i="11"/>
  <c r="L132" i="11" s="1"/>
  <c r="E85" i="11"/>
  <c r="E133" i="11" s="1"/>
  <c r="F85" i="11"/>
  <c r="F133" i="11" s="1"/>
  <c r="G85" i="11"/>
  <c r="G133" i="11" s="1"/>
  <c r="H85" i="11"/>
  <c r="H133" i="11" s="1"/>
  <c r="I85" i="11"/>
  <c r="I133" i="11" s="1"/>
  <c r="J85" i="11"/>
  <c r="J133" i="11" s="1"/>
  <c r="K85" i="11"/>
  <c r="K133" i="11" s="1"/>
  <c r="L85" i="11"/>
  <c r="L133" i="11" s="1"/>
  <c r="E86" i="11"/>
  <c r="E134" i="11" s="1"/>
  <c r="F86" i="11"/>
  <c r="F134" i="11" s="1"/>
  <c r="G86" i="11"/>
  <c r="G134" i="11" s="1"/>
  <c r="H86" i="11"/>
  <c r="H134" i="11" s="1"/>
  <c r="I86" i="11"/>
  <c r="I134" i="11" s="1"/>
  <c r="J86" i="11"/>
  <c r="J134" i="11" s="1"/>
  <c r="K86" i="11"/>
  <c r="K134" i="11" s="1"/>
  <c r="L86" i="11"/>
  <c r="L134" i="11" s="1"/>
  <c r="N140" i="11"/>
  <c r="E50" i="11"/>
  <c r="E98" i="11" s="1"/>
  <c r="F50" i="11"/>
  <c r="F98" i="11" s="1"/>
  <c r="G50" i="11"/>
  <c r="G98" i="11" s="1"/>
  <c r="H50" i="11"/>
  <c r="H98" i="11" s="1"/>
  <c r="I50" i="11"/>
  <c r="I98" i="11" s="1"/>
  <c r="J50" i="11"/>
  <c r="J98" i="11" s="1"/>
  <c r="K50" i="11"/>
  <c r="K98" i="11" s="1"/>
  <c r="L50" i="11"/>
  <c r="L98" i="11" s="1"/>
  <c r="E51" i="11"/>
  <c r="E99" i="11" s="1"/>
  <c r="F51" i="11"/>
  <c r="F99" i="11" s="1"/>
  <c r="G51" i="11"/>
  <c r="G99" i="11" s="1"/>
  <c r="H51" i="11"/>
  <c r="H99" i="11" s="1"/>
  <c r="I51" i="11"/>
  <c r="I99" i="11" s="1"/>
  <c r="J51" i="11"/>
  <c r="J99" i="11" s="1"/>
  <c r="K51" i="11"/>
  <c r="K99" i="11" s="1"/>
  <c r="L51" i="11"/>
  <c r="L99" i="11" s="1"/>
  <c r="E52" i="11"/>
  <c r="E100" i="11" s="1"/>
  <c r="F52" i="11"/>
  <c r="F100" i="11" s="1"/>
  <c r="G52" i="11"/>
  <c r="G100" i="11" s="1"/>
  <c r="H52" i="11"/>
  <c r="H100" i="11" s="1"/>
  <c r="I52" i="11"/>
  <c r="I100" i="11" s="1"/>
  <c r="J52" i="11"/>
  <c r="J100" i="11" s="1"/>
  <c r="K52" i="11"/>
  <c r="K100" i="11" s="1"/>
  <c r="L52" i="11"/>
  <c r="L100" i="11" s="1"/>
  <c r="E53" i="11"/>
  <c r="E101" i="11" s="1"/>
  <c r="F53" i="11"/>
  <c r="F101" i="11" s="1"/>
  <c r="G53" i="11"/>
  <c r="G101" i="11" s="1"/>
  <c r="H53" i="11"/>
  <c r="H101" i="11" s="1"/>
  <c r="I53" i="11"/>
  <c r="I101" i="11" s="1"/>
  <c r="J53" i="11"/>
  <c r="J101" i="11" s="1"/>
  <c r="K53" i="11"/>
  <c r="K101" i="11" s="1"/>
  <c r="L53" i="11"/>
  <c r="L101" i="11" s="1"/>
  <c r="E54" i="11"/>
  <c r="E102" i="11" s="1"/>
  <c r="F54" i="11"/>
  <c r="F102" i="11" s="1"/>
  <c r="G54" i="11"/>
  <c r="G102" i="11" s="1"/>
  <c r="H54" i="11"/>
  <c r="H102" i="11" s="1"/>
  <c r="I54" i="11"/>
  <c r="I102" i="11" s="1"/>
  <c r="J54" i="11"/>
  <c r="J102" i="11" s="1"/>
  <c r="K54" i="11"/>
  <c r="K102" i="11" s="1"/>
  <c r="L54" i="11"/>
  <c r="L102" i="11" s="1"/>
  <c r="E55" i="11"/>
  <c r="E103" i="11" s="1"/>
  <c r="F55" i="11"/>
  <c r="F103" i="11" s="1"/>
  <c r="G55" i="11"/>
  <c r="G103" i="11" s="1"/>
  <c r="H55" i="11"/>
  <c r="H103" i="11" s="1"/>
  <c r="I55" i="11"/>
  <c r="I103" i="11" s="1"/>
  <c r="J55" i="11"/>
  <c r="J103" i="11" s="1"/>
  <c r="K55" i="11"/>
  <c r="K103" i="11" s="1"/>
  <c r="L55" i="11"/>
  <c r="L103" i="11" s="1"/>
  <c r="E56" i="11"/>
  <c r="E104" i="11" s="1"/>
  <c r="F56" i="11"/>
  <c r="F104" i="11" s="1"/>
  <c r="G56" i="11"/>
  <c r="G104" i="11" s="1"/>
  <c r="H56" i="11"/>
  <c r="H104" i="11" s="1"/>
  <c r="I56" i="11"/>
  <c r="I104" i="11" s="1"/>
  <c r="J56" i="11"/>
  <c r="J104" i="11" s="1"/>
  <c r="K56" i="11"/>
  <c r="K104" i="11" s="1"/>
  <c r="L56" i="11"/>
  <c r="L104" i="11" s="1"/>
  <c r="E57" i="11"/>
  <c r="E105" i="11" s="1"/>
  <c r="F57" i="11"/>
  <c r="F105" i="11" s="1"/>
  <c r="G57" i="11"/>
  <c r="G105" i="11" s="1"/>
  <c r="H57" i="11"/>
  <c r="H105" i="11" s="1"/>
  <c r="I57" i="11"/>
  <c r="I105" i="11" s="1"/>
  <c r="J57" i="11"/>
  <c r="J105" i="11" s="1"/>
  <c r="K57" i="11"/>
  <c r="K105" i="11" s="1"/>
  <c r="L57" i="11"/>
  <c r="L105" i="11" s="1"/>
  <c r="E58" i="11"/>
  <c r="E106" i="11" s="1"/>
  <c r="F58" i="11"/>
  <c r="F106" i="11" s="1"/>
  <c r="G58" i="11"/>
  <c r="G106" i="11" s="1"/>
  <c r="H58" i="11"/>
  <c r="H106" i="11" s="1"/>
  <c r="I58" i="11"/>
  <c r="I106" i="11" s="1"/>
  <c r="J58" i="11"/>
  <c r="J106" i="11" s="1"/>
  <c r="K58" i="11"/>
  <c r="K106" i="11" s="1"/>
  <c r="L58" i="11"/>
  <c r="L106" i="11" s="1"/>
  <c r="E59" i="11"/>
  <c r="E107" i="11" s="1"/>
  <c r="F59" i="11"/>
  <c r="F107" i="11" s="1"/>
  <c r="G59" i="11"/>
  <c r="G107" i="11" s="1"/>
  <c r="H59" i="11"/>
  <c r="H107" i="11" s="1"/>
  <c r="I59" i="11"/>
  <c r="I107" i="11" s="1"/>
  <c r="J59" i="11"/>
  <c r="J107" i="11" s="1"/>
  <c r="K59" i="11"/>
  <c r="K107" i="11" s="1"/>
  <c r="L59" i="11"/>
  <c r="L107" i="11" s="1"/>
  <c r="E60" i="11"/>
  <c r="E108" i="11" s="1"/>
  <c r="F60" i="11"/>
  <c r="F108" i="11" s="1"/>
  <c r="G60" i="11"/>
  <c r="G108" i="11" s="1"/>
  <c r="H60" i="11"/>
  <c r="H108" i="11" s="1"/>
  <c r="I60" i="11"/>
  <c r="I108" i="11" s="1"/>
  <c r="J60" i="11"/>
  <c r="J108" i="11" s="1"/>
  <c r="K60" i="11"/>
  <c r="K108" i="11" s="1"/>
  <c r="L60" i="11"/>
  <c r="L108" i="11" s="1"/>
  <c r="E61" i="11"/>
  <c r="E109" i="11" s="1"/>
  <c r="F61" i="11"/>
  <c r="F109" i="11" s="1"/>
  <c r="G61" i="11"/>
  <c r="G109" i="11" s="1"/>
  <c r="H61" i="11"/>
  <c r="H109" i="11" s="1"/>
  <c r="I61" i="11"/>
  <c r="I109" i="11" s="1"/>
  <c r="J61" i="11"/>
  <c r="J109" i="11" s="1"/>
  <c r="K61" i="11"/>
  <c r="K109" i="11" s="1"/>
  <c r="L61" i="11"/>
  <c r="L109" i="11" s="1"/>
  <c r="E62" i="11"/>
  <c r="E110" i="11" s="1"/>
  <c r="F62" i="11"/>
  <c r="F110" i="11" s="1"/>
  <c r="G62" i="11"/>
  <c r="G110" i="11" s="1"/>
  <c r="H62" i="11"/>
  <c r="H110" i="11" s="1"/>
  <c r="I62" i="11"/>
  <c r="I110" i="11" s="1"/>
  <c r="J62" i="11"/>
  <c r="J110" i="11" s="1"/>
  <c r="K62" i="11"/>
  <c r="K110" i="11" s="1"/>
  <c r="L62" i="11"/>
  <c r="L110" i="11" s="1"/>
  <c r="E63" i="11"/>
  <c r="E111" i="11" s="1"/>
  <c r="F63" i="11"/>
  <c r="F111" i="11" s="1"/>
  <c r="G63" i="11"/>
  <c r="G111" i="11" s="1"/>
  <c r="H63" i="11"/>
  <c r="H111" i="11" s="1"/>
  <c r="I63" i="11"/>
  <c r="I111" i="11" s="1"/>
  <c r="J63" i="11"/>
  <c r="J111" i="11" s="1"/>
  <c r="K63" i="11"/>
  <c r="K111" i="11" s="1"/>
  <c r="L63" i="11"/>
  <c r="L111" i="11" s="1"/>
  <c r="E64" i="11"/>
  <c r="E112" i="11" s="1"/>
  <c r="F64" i="11"/>
  <c r="F112" i="11" s="1"/>
  <c r="G64" i="11"/>
  <c r="G112" i="11" s="1"/>
  <c r="H64" i="11"/>
  <c r="H112" i="11" s="1"/>
  <c r="I64" i="11"/>
  <c r="I112" i="11" s="1"/>
  <c r="J64" i="11"/>
  <c r="J112" i="11" s="1"/>
  <c r="K64" i="11"/>
  <c r="K112" i="11" s="1"/>
  <c r="L64" i="11"/>
  <c r="L112" i="11" s="1"/>
  <c r="E65" i="11"/>
  <c r="E113" i="11" s="1"/>
  <c r="F65" i="11"/>
  <c r="F113" i="11" s="1"/>
  <c r="G65" i="11"/>
  <c r="G113" i="11" s="1"/>
  <c r="H65" i="11"/>
  <c r="H113" i="11" s="1"/>
  <c r="I65" i="11"/>
  <c r="I113" i="11" s="1"/>
  <c r="J65" i="11"/>
  <c r="J113" i="11" s="1"/>
  <c r="K65" i="11"/>
  <c r="K113" i="11" s="1"/>
  <c r="L65" i="11"/>
  <c r="L113" i="11" s="1"/>
  <c r="E66" i="11"/>
  <c r="E114" i="11" s="1"/>
  <c r="F66" i="11"/>
  <c r="F114" i="11" s="1"/>
  <c r="G66" i="11"/>
  <c r="G114" i="11" s="1"/>
  <c r="H66" i="11"/>
  <c r="H114" i="11" s="1"/>
  <c r="I66" i="11"/>
  <c r="I114" i="11" s="1"/>
  <c r="J66" i="11"/>
  <c r="J114" i="11" s="1"/>
  <c r="K66" i="11"/>
  <c r="K114" i="11" s="1"/>
  <c r="L66" i="11"/>
  <c r="L114" i="11" s="1"/>
  <c r="E67" i="11"/>
  <c r="E115" i="11" s="1"/>
  <c r="F67" i="11"/>
  <c r="F115" i="11" s="1"/>
  <c r="G67" i="11"/>
  <c r="G115" i="11" s="1"/>
  <c r="H67" i="11"/>
  <c r="H115" i="11" s="1"/>
  <c r="I67" i="11"/>
  <c r="I115" i="11" s="1"/>
  <c r="J67" i="11"/>
  <c r="J115" i="11" s="1"/>
  <c r="K67" i="11"/>
  <c r="K115" i="11" s="1"/>
  <c r="L67" i="11"/>
  <c r="L115" i="11" s="1"/>
  <c r="E68" i="11"/>
  <c r="E116" i="11" s="1"/>
  <c r="F68" i="11"/>
  <c r="F116" i="11" s="1"/>
  <c r="G68" i="11"/>
  <c r="G116" i="11" s="1"/>
  <c r="H68" i="11"/>
  <c r="H116" i="11" s="1"/>
  <c r="I68" i="11"/>
  <c r="I116" i="11" s="1"/>
  <c r="J68" i="11"/>
  <c r="J116" i="11" s="1"/>
  <c r="K68" i="11"/>
  <c r="K116" i="11" s="1"/>
  <c r="L68" i="11"/>
  <c r="L116" i="11" s="1"/>
  <c r="E69" i="11"/>
  <c r="E117" i="11" s="1"/>
  <c r="F69" i="11"/>
  <c r="F117" i="11" s="1"/>
  <c r="G69" i="11"/>
  <c r="G117" i="11" s="1"/>
  <c r="H69" i="11"/>
  <c r="H117" i="11" s="1"/>
  <c r="I69" i="11"/>
  <c r="I117" i="11" s="1"/>
  <c r="J69" i="11"/>
  <c r="J117" i="11" s="1"/>
  <c r="K69" i="11"/>
  <c r="K117" i="11" s="1"/>
  <c r="L69" i="11"/>
  <c r="L117" i="11" s="1"/>
  <c r="E70" i="11"/>
  <c r="E118" i="11" s="1"/>
  <c r="F70" i="11"/>
  <c r="F118" i="11" s="1"/>
  <c r="G70" i="11"/>
  <c r="G118" i="11" s="1"/>
  <c r="H70" i="11"/>
  <c r="H118" i="11" s="1"/>
  <c r="I70" i="11"/>
  <c r="I118" i="11" s="1"/>
  <c r="J70" i="11"/>
  <c r="J118" i="11" s="1"/>
  <c r="K70" i="11"/>
  <c r="K118" i="11" s="1"/>
  <c r="L70" i="11"/>
  <c r="L118" i="11" s="1"/>
  <c r="E71" i="11"/>
  <c r="E119" i="11" s="1"/>
  <c r="F71" i="11"/>
  <c r="F119" i="11" s="1"/>
  <c r="G71" i="11"/>
  <c r="G119" i="11" s="1"/>
  <c r="H71" i="11"/>
  <c r="H119" i="11" s="1"/>
  <c r="I71" i="11"/>
  <c r="I119" i="11" s="1"/>
  <c r="J71" i="11"/>
  <c r="J119" i="11" s="1"/>
  <c r="K71" i="11"/>
  <c r="K119" i="11" s="1"/>
  <c r="L71" i="11"/>
  <c r="L119" i="11" s="1"/>
  <c r="E72" i="11"/>
  <c r="E120" i="11" s="1"/>
  <c r="F72" i="11"/>
  <c r="F120" i="11" s="1"/>
  <c r="G72" i="11"/>
  <c r="G120" i="11" s="1"/>
  <c r="H72" i="11"/>
  <c r="H120" i="11" s="1"/>
  <c r="I72" i="11"/>
  <c r="I120" i="11" s="1"/>
  <c r="J72" i="11"/>
  <c r="J120" i="11" s="1"/>
  <c r="K72" i="11"/>
  <c r="K120" i="11" s="1"/>
  <c r="L72" i="11"/>
  <c r="L120" i="11" s="1"/>
  <c r="E73" i="11"/>
  <c r="E121" i="11" s="1"/>
  <c r="F73" i="11"/>
  <c r="F121" i="11" s="1"/>
  <c r="G73" i="11"/>
  <c r="G121" i="11" s="1"/>
  <c r="H73" i="11"/>
  <c r="H121" i="11" s="1"/>
  <c r="I73" i="11"/>
  <c r="I121" i="11" s="1"/>
  <c r="J73" i="11"/>
  <c r="J121" i="11" s="1"/>
  <c r="K73" i="11"/>
  <c r="K121" i="11" s="1"/>
  <c r="L73" i="11"/>
  <c r="L121" i="11" s="1"/>
  <c r="E74" i="11"/>
  <c r="E122" i="11" s="1"/>
  <c r="F74" i="11"/>
  <c r="F122" i="11" s="1"/>
  <c r="G74" i="11"/>
  <c r="G122" i="11" s="1"/>
  <c r="H74" i="11"/>
  <c r="H122" i="11" s="1"/>
  <c r="I74" i="11"/>
  <c r="I122" i="11" s="1"/>
  <c r="J74" i="11"/>
  <c r="J122" i="11" s="1"/>
  <c r="K74" i="11"/>
  <c r="K122" i="11" s="1"/>
  <c r="L74" i="11"/>
  <c r="L122" i="11" s="1"/>
  <c r="E75" i="11"/>
  <c r="E123" i="11" s="1"/>
  <c r="F75" i="11"/>
  <c r="F123" i="11" s="1"/>
  <c r="G75" i="11"/>
  <c r="G123" i="11" s="1"/>
  <c r="H75" i="11"/>
  <c r="H123" i="11" s="1"/>
  <c r="I75" i="11"/>
  <c r="I123" i="11" s="1"/>
  <c r="J75" i="11"/>
  <c r="J123" i="11" s="1"/>
  <c r="K75" i="11"/>
  <c r="K123" i="11" s="1"/>
  <c r="L75" i="11"/>
  <c r="L123" i="11" s="1"/>
  <c r="F49" i="11"/>
  <c r="F97" i="11" s="1"/>
  <c r="G49" i="11"/>
  <c r="G97" i="11" s="1"/>
  <c r="H49" i="11"/>
  <c r="H97" i="11" s="1"/>
  <c r="I49" i="11"/>
  <c r="I97" i="11" s="1"/>
  <c r="J49" i="11"/>
  <c r="J97" i="11" s="1"/>
  <c r="K49" i="11"/>
  <c r="K97" i="11" s="1"/>
  <c r="L49" i="11"/>
  <c r="L97" i="11" s="1"/>
  <c r="E49" i="11"/>
  <c r="E97" i="11" s="1"/>
  <c r="N5" i="11"/>
  <c r="O45" i="11"/>
  <c r="M6" i="11"/>
  <c r="N6" i="11" s="1"/>
  <c r="M7" i="11"/>
  <c r="Q7" i="11" s="1"/>
  <c r="R7" i="11" s="1"/>
  <c r="M8" i="11"/>
  <c r="N8" i="11" s="1"/>
  <c r="M9" i="11"/>
  <c r="Q9" i="11" s="1"/>
  <c r="R9" i="11" s="1"/>
  <c r="M10" i="11"/>
  <c r="Q10" i="11" s="1"/>
  <c r="R10" i="11" s="1"/>
  <c r="M11" i="11"/>
  <c r="Q11" i="11" s="1"/>
  <c r="R11" i="11" s="1"/>
  <c r="M12" i="11"/>
  <c r="Q12" i="11" s="1"/>
  <c r="R12" i="11" s="1"/>
  <c r="M13" i="11"/>
  <c r="N13" i="11" s="1"/>
  <c r="M14" i="11"/>
  <c r="Q14" i="11" s="1"/>
  <c r="R14" i="11" s="1"/>
  <c r="M15" i="11"/>
  <c r="Q15" i="11" s="1"/>
  <c r="R15" i="11" s="1"/>
  <c r="M16" i="11"/>
  <c r="Q16" i="11" s="1"/>
  <c r="R16" i="11" s="1"/>
  <c r="M17" i="11"/>
  <c r="Q17" i="11" s="1"/>
  <c r="R17" i="11" s="1"/>
  <c r="M18" i="11"/>
  <c r="Q18" i="11" s="1"/>
  <c r="R18" i="11" s="1"/>
  <c r="M19" i="11"/>
  <c r="Q19" i="11" s="1"/>
  <c r="R19" i="11" s="1"/>
  <c r="M20" i="11"/>
  <c r="Q20" i="11" s="1"/>
  <c r="R20" i="11" s="1"/>
  <c r="M21" i="11"/>
  <c r="Q21" i="11" s="1"/>
  <c r="R21" i="11" s="1"/>
  <c r="M22" i="11"/>
  <c r="Q22" i="11" s="1"/>
  <c r="R22" i="11" s="1"/>
  <c r="M23" i="11"/>
  <c r="Q23" i="11" s="1"/>
  <c r="R23" i="11" s="1"/>
  <c r="M24" i="11"/>
  <c r="Q24" i="11" s="1"/>
  <c r="R24" i="11" s="1"/>
  <c r="M25" i="11"/>
  <c r="Q25" i="11" s="1"/>
  <c r="R25" i="11" s="1"/>
  <c r="M26" i="11"/>
  <c r="Q26" i="11" s="1"/>
  <c r="R26" i="11" s="1"/>
  <c r="M27" i="11"/>
  <c r="Q27" i="11" s="1"/>
  <c r="R27" i="11" s="1"/>
  <c r="M28" i="11"/>
  <c r="Q28" i="11" s="1"/>
  <c r="R28" i="11" s="1"/>
  <c r="M29" i="11"/>
  <c r="Q29" i="11" s="1"/>
  <c r="R29" i="11" s="1"/>
  <c r="M30" i="11"/>
  <c r="Q30" i="11" s="1"/>
  <c r="R30" i="11" s="1"/>
  <c r="M31" i="11"/>
  <c r="Q31" i="11" s="1"/>
  <c r="R31" i="11" s="1"/>
  <c r="M5" i="11"/>
  <c r="AI80" i="8"/>
  <c r="AI81" i="8" s="1"/>
  <c r="C79" i="8"/>
  <c r="C78" i="8"/>
  <c r="D64" i="8"/>
  <c r="D65" i="8" s="1"/>
  <c r="D55" i="8"/>
  <c r="E55" i="8"/>
  <c r="F55" i="8"/>
  <c r="G55" i="8"/>
  <c r="I55" i="8"/>
  <c r="J55" i="8"/>
  <c r="L55" i="8"/>
  <c r="M55" i="8"/>
  <c r="N55" i="8"/>
  <c r="O55" i="8"/>
  <c r="P54" i="8"/>
  <c r="P55" i="8" s="1"/>
  <c r="K54" i="8"/>
  <c r="K55" i="8" s="1"/>
  <c r="H54" i="8"/>
  <c r="H55" i="8" s="1"/>
  <c r="D52" i="8"/>
  <c r="E52" i="8"/>
  <c r="F52" i="8"/>
  <c r="G52" i="8"/>
  <c r="I52" i="8"/>
  <c r="J52" i="8"/>
  <c r="L52" i="8"/>
  <c r="M52" i="8"/>
  <c r="N52" i="8"/>
  <c r="O52" i="8"/>
  <c r="P51" i="8"/>
  <c r="P50" i="8"/>
  <c r="K51" i="8"/>
  <c r="K50" i="8"/>
  <c r="H51" i="8"/>
  <c r="H50" i="8"/>
  <c r="H52" i="8" s="1"/>
  <c r="C54" i="8"/>
  <c r="C55" i="8" s="1"/>
  <c r="C51" i="8"/>
  <c r="C50" i="8"/>
  <c r="A54" i="8"/>
  <c r="H77" i="10"/>
  <c r="H78" i="10" s="1"/>
  <c r="C29" i="2"/>
  <c r="F64" i="10"/>
  <c r="E64" i="10"/>
  <c r="F60" i="10"/>
  <c r="I60" i="10" s="1"/>
  <c r="D48" i="10"/>
  <c r="D54" i="10" s="1"/>
  <c r="D47" i="10"/>
  <c r="D53" i="10" s="1"/>
  <c r="D46" i="10"/>
  <c r="D52" i="10" s="1"/>
  <c r="I11" i="3"/>
  <c r="E34" i="10"/>
  <c r="E33" i="10"/>
  <c r="E29" i="10"/>
  <c r="E28" i="10"/>
  <c r="I24" i="10"/>
  <c r="H24" i="10"/>
  <c r="D16" i="10"/>
  <c r="F16" i="10" s="1"/>
  <c r="D17" i="10"/>
  <c r="F17" i="10" s="1"/>
  <c r="D15" i="10"/>
  <c r="F15" i="10" s="1"/>
  <c r="J8" i="10"/>
  <c r="K9" i="10"/>
  <c r="K10" i="10" s="1"/>
  <c r="J7" i="10"/>
  <c r="J6" i="10"/>
  <c r="I8" i="10"/>
  <c r="I7" i="10"/>
  <c r="I6" i="10"/>
  <c r="E8" i="10"/>
  <c r="E7" i="10"/>
  <c r="E6" i="10"/>
  <c r="D8" i="10"/>
  <c r="D7" i="10"/>
  <c r="D6" i="10"/>
  <c r="T17" i="6"/>
  <c r="Q17" i="6"/>
  <c r="Q7" i="6"/>
  <c r="Q8" i="6"/>
  <c r="Q9" i="6"/>
  <c r="Q10" i="6"/>
  <c r="Q11" i="6"/>
  <c r="Q12" i="6"/>
  <c r="Q13" i="6"/>
  <c r="Q14" i="6"/>
  <c r="Q15" i="6"/>
  <c r="F9" i="10" s="1"/>
  <c r="F10" i="10" s="1"/>
  <c r="Q16" i="6"/>
  <c r="Q6" i="6"/>
  <c r="H39" i="3"/>
  <c r="E10" i="3" s="1"/>
  <c r="BD22" i="8"/>
  <c r="BD21" i="8"/>
  <c r="BD26" i="8" s="1"/>
  <c r="G20" i="3"/>
  <c r="G19" i="3"/>
  <c r="D6" i="2"/>
  <c r="D43" i="2"/>
  <c r="T37" i="3"/>
  <c r="S37" i="3"/>
  <c r="K102" i="10" l="1"/>
  <c r="K119" i="10" s="1"/>
  <c r="K122" i="10" s="1"/>
  <c r="K124" i="10" s="1"/>
  <c r="K101" i="10"/>
  <c r="E12" i="12"/>
  <c r="J10" i="12"/>
  <c r="H115" i="10"/>
  <c r="H133" i="10"/>
  <c r="H64" i="10"/>
  <c r="K52" i="8"/>
  <c r="C52" i="8"/>
  <c r="X52" i="8" s="1"/>
  <c r="P52" i="8"/>
  <c r="M146" i="11"/>
  <c r="H140" i="11"/>
  <c r="J140" i="11"/>
  <c r="M81" i="11"/>
  <c r="N81" i="11" s="1"/>
  <c r="M77" i="11"/>
  <c r="N77" i="11" s="1"/>
  <c r="M87" i="11"/>
  <c r="N87" i="11" s="1"/>
  <c r="I140" i="11"/>
  <c r="I141" i="11" s="1"/>
  <c r="L140" i="11"/>
  <c r="M84" i="11"/>
  <c r="M79" i="11"/>
  <c r="F132" i="11"/>
  <c r="F127" i="11"/>
  <c r="M83" i="11"/>
  <c r="G129" i="11"/>
  <c r="G125" i="11"/>
  <c r="G140" i="11" s="1"/>
  <c r="M78" i="11"/>
  <c r="M88" i="11"/>
  <c r="M82" i="11"/>
  <c r="K136" i="11"/>
  <c r="K140" i="11" s="1"/>
  <c r="M85" i="11"/>
  <c r="M76" i="11"/>
  <c r="G135" i="11"/>
  <c r="M86" i="11"/>
  <c r="M80" i="11"/>
  <c r="M73" i="11"/>
  <c r="M72" i="11"/>
  <c r="M71" i="11"/>
  <c r="M70" i="11"/>
  <c r="M69" i="11"/>
  <c r="M68" i="11"/>
  <c r="M64" i="11"/>
  <c r="M63" i="11"/>
  <c r="M62" i="11"/>
  <c r="M61" i="11"/>
  <c r="M60" i="11"/>
  <c r="M57" i="11"/>
  <c r="M56" i="11"/>
  <c r="M55" i="11"/>
  <c r="M54" i="11"/>
  <c r="M53" i="11"/>
  <c r="M52" i="11"/>
  <c r="M75" i="11"/>
  <c r="M67" i="11"/>
  <c r="M59" i="11"/>
  <c r="M51" i="11"/>
  <c r="M58" i="11"/>
  <c r="M50" i="11"/>
  <c r="M66" i="11"/>
  <c r="M65" i="11"/>
  <c r="M49" i="11"/>
  <c r="M74" i="11"/>
  <c r="N12" i="11"/>
  <c r="N11" i="11"/>
  <c r="Q13" i="11"/>
  <c r="R13" i="11" s="1"/>
  <c r="N10" i="11"/>
  <c r="M45" i="11"/>
  <c r="N45" i="11" s="1"/>
  <c r="Q5" i="11"/>
  <c r="Q6" i="11"/>
  <c r="R6" i="11" s="1"/>
  <c r="Q8" i="11"/>
  <c r="R8" i="11" s="1"/>
  <c r="N9" i="11"/>
  <c r="N7" i="11"/>
  <c r="F54" i="10"/>
  <c r="H54" i="10"/>
  <c r="I54" i="10" s="1"/>
  <c r="K54" i="10" s="1"/>
  <c r="D70" i="10"/>
  <c r="F52" i="10"/>
  <c r="D68" i="10"/>
  <c r="H52" i="10"/>
  <c r="I52" i="10" s="1"/>
  <c r="K52" i="10" s="1"/>
  <c r="F53" i="10"/>
  <c r="H53" i="10"/>
  <c r="I53" i="10" s="1"/>
  <c r="D69" i="10"/>
  <c r="F48" i="10"/>
  <c r="H48" i="10" s="1"/>
  <c r="I48" i="10" s="1"/>
  <c r="K48" i="10" s="1"/>
  <c r="X55" i="8"/>
  <c r="C80" i="8"/>
  <c r="C82" i="8" s="1"/>
  <c r="D18" i="10"/>
  <c r="F18" i="10"/>
  <c r="F47" i="10"/>
  <c r="H47" i="10" s="1"/>
  <c r="I47" i="10" s="1"/>
  <c r="K47" i="10" s="1"/>
  <c r="J10" i="10"/>
  <c r="I10" i="10"/>
  <c r="E10" i="10"/>
  <c r="D29" i="10" s="1"/>
  <c r="D10" i="10"/>
  <c r="D28" i="10" s="1"/>
  <c r="J10" i="3"/>
  <c r="I10" i="3"/>
  <c r="G39" i="3"/>
  <c r="M37" i="6"/>
  <c r="K39" i="6"/>
  <c r="K42" i="6" s="1"/>
  <c r="M38" i="6"/>
  <c r="G40" i="3"/>
  <c r="C10" i="3"/>
  <c r="M42" i="6"/>
  <c r="M40" i="6"/>
  <c r="M39" i="6"/>
  <c r="K41" i="6"/>
  <c r="X57" i="8" l="1"/>
  <c r="D67" i="8" s="1"/>
  <c r="AI83" i="8"/>
  <c r="G21" i="3" s="1"/>
  <c r="N146" i="11"/>
  <c r="M125" i="11"/>
  <c r="M135" i="11"/>
  <c r="M129" i="11"/>
  <c r="F140" i="11"/>
  <c r="N66" i="11"/>
  <c r="M114" i="11"/>
  <c r="N78" i="11"/>
  <c r="M126" i="11"/>
  <c r="N64" i="11"/>
  <c r="M112" i="11"/>
  <c r="N86" i="11"/>
  <c r="M134" i="11"/>
  <c r="N79" i="11"/>
  <c r="M127" i="11"/>
  <c r="N58" i="11"/>
  <c r="M106" i="11"/>
  <c r="N55" i="11"/>
  <c r="M103" i="11"/>
  <c r="N68" i="11"/>
  <c r="M116" i="11"/>
  <c r="N84" i="11"/>
  <c r="M132" i="11"/>
  <c r="N80" i="11"/>
  <c r="M128" i="11"/>
  <c r="N50" i="11"/>
  <c r="M98" i="11"/>
  <c r="N69" i="11"/>
  <c r="M117" i="11"/>
  <c r="N59" i="11"/>
  <c r="M107" i="11"/>
  <c r="N57" i="11"/>
  <c r="M105" i="11"/>
  <c r="N70" i="11"/>
  <c r="M118" i="11"/>
  <c r="N85" i="11"/>
  <c r="M133" i="11"/>
  <c r="N51" i="11"/>
  <c r="M99" i="11"/>
  <c r="N74" i="11"/>
  <c r="M122" i="11"/>
  <c r="N67" i="11"/>
  <c r="M115" i="11"/>
  <c r="N60" i="11"/>
  <c r="M108" i="11"/>
  <c r="N71" i="11"/>
  <c r="M119" i="11"/>
  <c r="N63" i="11"/>
  <c r="M111" i="11"/>
  <c r="N54" i="11"/>
  <c r="M102" i="11"/>
  <c r="N56" i="11"/>
  <c r="M104" i="11"/>
  <c r="N76" i="11"/>
  <c r="M124" i="11"/>
  <c r="N49" i="11"/>
  <c r="M97" i="11"/>
  <c r="N75" i="11"/>
  <c r="M123" i="11"/>
  <c r="N61" i="11"/>
  <c r="M109" i="11"/>
  <c r="N72" i="11"/>
  <c r="M120" i="11"/>
  <c r="N82" i="11"/>
  <c r="M130" i="11"/>
  <c r="N83" i="11"/>
  <c r="M131" i="11"/>
  <c r="N53" i="11"/>
  <c r="M101" i="11"/>
  <c r="N65" i="11"/>
  <c r="M113" i="11"/>
  <c r="N52" i="11"/>
  <c r="M100" i="11"/>
  <c r="N62" i="11"/>
  <c r="M110" i="11"/>
  <c r="N73" i="11"/>
  <c r="M121" i="11"/>
  <c r="N88" i="11"/>
  <c r="M136" i="11"/>
  <c r="M95" i="11"/>
  <c r="E140" i="11"/>
  <c r="R5" i="11"/>
  <c r="R45" i="11" s="1"/>
  <c r="Q45" i="11"/>
  <c r="K53" i="10"/>
  <c r="K55" i="10" s="1"/>
  <c r="E18" i="10"/>
  <c r="F29" i="10"/>
  <c r="H29" i="10" s="1"/>
  <c r="I29" i="10" s="1"/>
  <c r="K29" i="10" s="1"/>
  <c r="D34" i="10"/>
  <c r="H34" i="10" s="1"/>
  <c r="I34" i="10" s="1"/>
  <c r="K34" i="10" s="1"/>
  <c r="F28" i="10"/>
  <c r="H28" i="10" s="1"/>
  <c r="D33" i="10"/>
  <c r="H33" i="10" s="1"/>
  <c r="I33" i="10" s="1"/>
  <c r="K33" i="10" s="1"/>
  <c r="K11" i="10"/>
  <c r="F11" i="10"/>
  <c r="D64" i="10" s="1"/>
  <c r="I64" i="10" s="1"/>
  <c r="G44" i="3"/>
  <c r="N95" i="11" l="1"/>
  <c r="E141" i="11"/>
  <c r="M140" i="11"/>
  <c r="M141" i="11" s="1"/>
  <c r="F46" i="10"/>
  <c r="H46" i="10" s="1"/>
  <c r="I46" i="10" s="1"/>
  <c r="K46" i="10" s="1"/>
  <c r="K49" i="10" s="1"/>
  <c r="K57" i="10" s="1"/>
  <c r="K35" i="10"/>
  <c r="I28" i="10"/>
  <c r="K28" i="10" s="1"/>
  <c r="K30" i="10" s="1"/>
  <c r="H7" i="3"/>
  <c r="K40" i="6"/>
  <c r="K6" i="6"/>
  <c r="P16" i="6"/>
  <c r="O16" i="6"/>
  <c r="N16" i="6"/>
  <c r="M16" i="6"/>
  <c r="L16" i="6"/>
  <c r="K16" i="6"/>
  <c r="P15" i="6"/>
  <c r="O15" i="6"/>
  <c r="N15" i="6"/>
  <c r="M15" i="6"/>
  <c r="L15" i="6"/>
  <c r="K15" i="6"/>
  <c r="P14" i="6"/>
  <c r="O14" i="6"/>
  <c r="N14" i="6"/>
  <c r="M14" i="6"/>
  <c r="L14" i="6"/>
  <c r="K14" i="6"/>
  <c r="P13" i="6"/>
  <c r="O13" i="6"/>
  <c r="N13" i="6"/>
  <c r="M13" i="6"/>
  <c r="L13" i="6"/>
  <c r="K13" i="6"/>
  <c r="P12" i="6"/>
  <c r="O12" i="6"/>
  <c r="N12" i="6"/>
  <c r="M12" i="6"/>
  <c r="L12" i="6"/>
  <c r="K12" i="6"/>
  <c r="P11" i="6"/>
  <c r="O11" i="6"/>
  <c r="N11" i="6"/>
  <c r="M11" i="6"/>
  <c r="L11" i="6"/>
  <c r="K11" i="6"/>
  <c r="P10" i="6"/>
  <c r="O10" i="6"/>
  <c r="N10" i="6"/>
  <c r="M10" i="6"/>
  <c r="L10" i="6"/>
  <c r="K10" i="6"/>
  <c r="P9" i="6"/>
  <c r="O9" i="6"/>
  <c r="N9" i="6"/>
  <c r="M9" i="6"/>
  <c r="L9" i="6"/>
  <c r="K9" i="6"/>
  <c r="P8" i="6"/>
  <c r="O8" i="6"/>
  <c r="N8" i="6"/>
  <c r="M8" i="6"/>
  <c r="L8" i="6"/>
  <c r="K8" i="6"/>
  <c r="P7" i="6"/>
  <c r="O7" i="6"/>
  <c r="N7" i="6"/>
  <c r="M7" i="6"/>
  <c r="L7" i="6"/>
  <c r="K7" i="6"/>
  <c r="P6" i="6"/>
  <c r="O6" i="6"/>
  <c r="N6" i="6"/>
  <c r="M6" i="6"/>
  <c r="L6" i="6"/>
  <c r="R17" i="7"/>
  <c r="N16" i="7"/>
  <c r="M16" i="7"/>
  <c r="L16" i="7"/>
  <c r="N8" i="7"/>
  <c r="M8" i="7"/>
  <c r="L8" i="7"/>
  <c r="N7" i="7"/>
  <c r="M7" i="7"/>
  <c r="L7" i="7"/>
  <c r="N6" i="7"/>
  <c r="M6" i="7"/>
  <c r="L6" i="7"/>
  <c r="P16" i="7"/>
  <c r="O16" i="7"/>
  <c r="K16" i="7"/>
  <c r="O15" i="7"/>
  <c r="K15" i="7"/>
  <c r="P14" i="7"/>
  <c r="O14" i="7"/>
  <c r="K14" i="7"/>
  <c r="P13" i="7"/>
  <c r="O13" i="7"/>
  <c r="N13" i="7"/>
  <c r="M13" i="7"/>
  <c r="L13" i="7"/>
  <c r="K13" i="7"/>
  <c r="P12" i="7"/>
  <c r="O12" i="7"/>
  <c r="K12" i="7"/>
  <c r="P11" i="7"/>
  <c r="O11" i="7"/>
  <c r="K11" i="7"/>
  <c r="P10" i="7"/>
  <c r="O10" i="7"/>
  <c r="K10" i="7"/>
  <c r="P9" i="7"/>
  <c r="O9" i="7"/>
  <c r="N9" i="7"/>
  <c r="M9" i="7"/>
  <c r="L9" i="7"/>
  <c r="K9" i="7"/>
  <c r="P8" i="7"/>
  <c r="O8" i="7"/>
  <c r="K8" i="7"/>
  <c r="P7" i="7"/>
  <c r="O7" i="7"/>
  <c r="K7" i="7"/>
  <c r="P6" i="7"/>
  <c r="O6" i="7"/>
  <c r="K6" i="7"/>
  <c r="K19" i="7"/>
  <c r="AB28" i="7"/>
  <c r="AB29" i="7"/>
  <c r="AB30" i="7"/>
  <c r="AB31" i="7"/>
  <c r="AB32" i="7"/>
  <c r="AB33" i="7"/>
  <c r="AB34" i="7"/>
  <c r="AB27" i="7"/>
  <c r="N141" i="11" l="1"/>
  <c r="M148" i="11"/>
  <c r="K37" i="10"/>
  <c r="K44" i="6"/>
  <c r="AJ23" i="8"/>
  <c r="AB23" i="8"/>
  <c r="S23" i="8"/>
  <c r="K23" i="8"/>
  <c r="C23" i="8"/>
  <c r="R39" i="6"/>
  <c r="Q39" i="6"/>
  <c r="AE32" i="8"/>
  <c r="C22" i="8"/>
  <c r="AO22" i="8"/>
  <c r="AO25" i="8" s="1"/>
  <c r="AO27" i="8" s="1"/>
  <c r="AX17" i="8"/>
  <c r="AW17" i="8"/>
  <c r="AW15" i="8"/>
  <c r="AS20" i="8"/>
  <c r="AP32" i="8"/>
  <c r="AR32" i="8" s="1"/>
  <c r="AP33" i="8"/>
  <c r="AS6" i="8" s="1"/>
  <c r="AP31" i="8"/>
  <c r="AR31" i="8" s="1"/>
  <c r="AB22" i="8"/>
  <c r="S22" i="8"/>
  <c r="K22" i="8"/>
  <c r="G104" i="7"/>
  <c r="G106" i="7" s="1"/>
  <c r="G99" i="7"/>
  <c r="E99" i="7"/>
  <c r="E104" i="7" s="1"/>
  <c r="E106" i="7" s="1"/>
  <c r="D99" i="7"/>
  <c r="D104" i="7" s="1"/>
  <c r="D106" i="7" s="1"/>
  <c r="N94" i="7"/>
  <c r="N93" i="7"/>
  <c r="N92" i="7"/>
  <c r="N95" i="7" s="1"/>
  <c r="C89" i="7"/>
  <c r="C100" i="7" s="1"/>
  <c r="B89" i="7"/>
  <c r="B100" i="7" s="1"/>
  <c r="G88" i="7"/>
  <c r="F88" i="7"/>
  <c r="E88" i="7"/>
  <c r="D88" i="7"/>
  <c r="C88" i="7"/>
  <c r="C99" i="7" s="1"/>
  <c r="C104" i="7" s="1"/>
  <c r="C106" i="7" s="1"/>
  <c r="B88" i="7"/>
  <c r="B99" i="7" s="1"/>
  <c r="B104" i="7" s="1"/>
  <c r="E78" i="7"/>
  <c r="D75" i="7"/>
  <c r="E72" i="7"/>
  <c r="B71" i="7"/>
  <c r="I72" i="7" s="1"/>
  <c r="G42" i="7"/>
  <c r="F42" i="7"/>
  <c r="E42" i="7"/>
  <c r="D42" i="7"/>
  <c r="C42" i="7"/>
  <c r="B42" i="7"/>
  <c r="G41" i="7"/>
  <c r="F41" i="7"/>
  <c r="E41" i="7"/>
  <c r="D41" i="7"/>
  <c r="C41" i="7"/>
  <c r="B41" i="7"/>
  <c r="G40" i="7"/>
  <c r="F40" i="7"/>
  <c r="E40" i="7"/>
  <c r="D40" i="7"/>
  <c r="C40" i="7"/>
  <c r="B40" i="7"/>
  <c r="G39" i="7"/>
  <c r="F39" i="7"/>
  <c r="E39" i="7"/>
  <c r="D39" i="7"/>
  <c r="C39" i="7"/>
  <c r="B39" i="7"/>
  <c r="G38" i="7"/>
  <c r="F38" i="7"/>
  <c r="E38" i="7"/>
  <c r="D38" i="7"/>
  <c r="C38" i="7"/>
  <c r="B38" i="7"/>
  <c r="G37" i="7"/>
  <c r="F37" i="7"/>
  <c r="E37" i="7"/>
  <c r="D37" i="7"/>
  <c r="C37" i="7"/>
  <c r="B37" i="7"/>
  <c r="G36" i="7"/>
  <c r="F36" i="7"/>
  <c r="E36" i="7"/>
  <c r="D36" i="7"/>
  <c r="C36" i="7"/>
  <c r="B36" i="7"/>
  <c r="G35" i="7"/>
  <c r="F35" i="7"/>
  <c r="E35" i="7"/>
  <c r="D35" i="7"/>
  <c r="C35" i="7"/>
  <c r="B35" i="7"/>
  <c r="G34" i="7"/>
  <c r="F34" i="7"/>
  <c r="E34" i="7"/>
  <c r="D34" i="7"/>
  <c r="C34" i="7"/>
  <c r="B34" i="7"/>
  <c r="G33" i="7"/>
  <c r="F33" i="7"/>
  <c r="E33" i="7"/>
  <c r="D33" i="7"/>
  <c r="C33" i="7"/>
  <c r="B33" i="7"/>
  <c r="G32" i="7"/>
  <c r="F32" i="7"/>
  <c r="E32" i="7"/>
  <c r="D32" i="7"/>
  <c r="C32" i="7"/>
  <c r="B32" i="7"/>
  <c r="G30" i="7"/>
  <c r="F30" i="7"/>
  <c r="E30" i="7"/>
  <c r="D30" i="7"/>
  <c r="C30" i="7"/>
  <c r="B30" i="7"/>
  <c r="N29" i="7"/>
  <c r="E81" i="7" s="1"/>
  <c r="K29" i="7"/>
  <c r="B81" i="7" s="1"/>
  <c r="H29" i="7"/>
  <c r="K28" i="7"/>
  <c r="H28" i="7"/>
  <c r="M27" i="7"/>
  <c r="K27" i="7"/>
  <c r="B79" i="7" s="1"/>
  <c r="H27" i="7"/>
  <c r="N26" i="7"/>
  <c r="M26" i="7"/>
  <c r="D78" i="7" s="1"/>
  <c r="K26" i="7"/>
  <c r="H26" i="7"/>
  <c r="N25" i="7"/>
  <c r="M25" i="7"/>
  <c r="K25" i="7"/>
  <c r="B77" i="7" s="1"/>
  <c r="H25" i="7"/>
  <c r="N24" i="7"/>
  <c r="E76" i="7" s="1"/>
  <c r="K24" i="7"/>
  <c r="B76" i="7" s="1"/>
  <c r="H24" i="7"/>
  <c r="N23" i="7"/>
  <c r="M23" i="7"/>
  <c r="K23" i="7"/>
  <c r="B75" i="7" s="1"/>
  <c r="H23" i="7"/>
  <c r="H22" i="7"/>
  <c r="K21" i="7"/>
  <c r="H21" i="7"/>
  <c r="N20" i="7"/>
  <c r="M20" i="7"/>
  <c r="D72" i="7" s="1"/>
  <c r="K20" i="7"/>
  <c r="B72" i="7" s="1"/>
  <c r="H20" i="7"/>
  <c r="N19" i="7"/>
  <c r="E71" i="7" s="1"/>
  <c r="M19" i="7"/>
  <c r="D71" i="7" s="1"/>
  <c r="H19" i="7"/>
  <c r="K17" i="7"/>
  <c r="P29" i="7"/>
  <c r="O29" i="7"/>
  <c r="E91" i="7"/>
  <c r="E102" i="7" s="1"/>
  <c r="H16" i="7"/>
  <c r="P15" i="7"/>
  <c r="P28" i="7" s="1"/>
  <c r="O28" i="7"/>
  <c r="F80" i="7" s="1"/>
  <c r="N15" i="7"/>
  <c r="N28" i="7" s="1"/>
  <c r="E80" i="7" s="1"/>
  <c r="M15" i="7"/>
  <c r="L15" i="7"/>
  <c r="C90" i="7" s="1"/>
  <c r="C101" i="7" s="1"/>
  <c r="B90" i="7"/>
  <c r="B101" i="7" s="1"/>
  <c r="H15" i="7"/>
  <c r="P27" i="7"/>
  <c r="O27" i="7"/>
  <c r="N14" i="7"/>
  <c r="N27" i="7" s="1"/>
  <c r="M14" i="7"/>
  <c r="D79" i="7" s="1"/>
  <c r="L14" i="7"/>
  <c r="H14" i="7"/>
  <c r="P26" i="7"/>
  <c r="O26" i="7"/>
  <c r="B78" i="7"/>
  <c r="H13" i="7"/>
  <c r="Q12" i="7"/>
  <c r="P25" i="7"/>
  <c r="G77" i="7" s="1"/>
  <c r="N12" i="7"/>
  <c r="E77" i="7" s="1"/>
  <c r="M12" i="7"/>
  <c r="D77" i="7" s="1"/>
  <c r="L12" i="7"/>
  <c r="H12" i="7"/>
  <c r="N11" i="7"/>
  <c r="M11" i="7"/>
  <c r="M24" i="7" s="1"/>
  <c r="L11" i="7"/>
  <c r="Q11" i="7" s="1"/>
  <c r="H11" i="7"/>
  <c r="P23" i="7"/>
  <c r="O23" i="7"/>
  <c r="N10" i="7"/>
  <c r="E75" i="7" s="1"/>
  <c r="M10" i="7"/>
  <c r="L10" i="7"/>
  <c r="L23" i="7" s="1"/>
  <c r="C75" i="7" s="1"/>
  <c r="H10" i="7"/>
  <c r="P22" i="7"/>
  <c r="O22" i="7"/>
  <c r="F74" i="7" s="1"/>
  <c r="N22" i="7"/>
  <c r="E74" i="7" s="1"/>
  <c r="Q9" i="7"/>
  <c r="R9" i="7" s="1"/>
  <c r="H9" i="7"/>
  <c r="P21" i="7"/>
  <c r="O21" i="7"/>
  <c r="F73" i="7" s="1"/>
  <c r="N17" i="7"/>
  <c r="B73" i="7"/>
  <c r="H8" i="7"/>
  <c r="Q7" i="7"/>
  <c r="O20" i="7"/>
  <c r="E89" i="7"/>
  <c r="E100" i="7" s="1"/>
  <c r="D89" i="7"/>
  <c r="D100" i="7" s="1"/>
  <c r="H7" i="7"/>
  <c r="Q6" i="7"/>
  <c r="P19" i="7"/>
  <c r="G71" i="7" s="1"/>
  <c r="O19" i="7"/>
  <c r="F71" i="7" s="1"/>
  <c r="M17" i="7"/>
  <c r="M30" i="7" s="1"/>
  <c r="L19" i="7"/>
  <c r="C71" i="7" s="1"/>
  <c r="H6" i="7"/>
  <c r="H17" i="7" s="1"/>
  <c r="F43" i="6"/>
  <c r="E43" i="6"/>
  <c r="D43" i="6"/>
  <c r="C43" i="6"/>
  <c r="B43" i="6"/>
  <c r="G42" i="6"/>
  <c r="F42" i="6"/>
  <c r="E42" i="6"/>
  <c r="D42" i="6"/>
  <c r="C42" i="6"/>
  <c r="B42" i="6"/>
  <c r="G41" i="6"/>
  <c r="F41" i="6"/>
  <c r="E41" i="6"/>
  <c r="D41" i="6"/>
  <c r="C41" i="6"/>
  <c r="B41" i="6"/>
  <c r="G40" i="6"/>
  <c r="F40" i="6"/>
  <c r="E40" i="6"/>
  <c r="D40" i="6"/>
  <c r="C40" i="6"/>
  <c r="B40" i="6"/>
  <c r="G39" i="6"/>
  <c r="F39" i="6"/>
  <c r="E39" i="6"/>
  <c r="D39" i="6"/>
  <c r="C39" i="6"/>
  <c r="B39" i="6"/>
  <c r="G38" i="6"/>
  <c r="F38" i="6"/>
  <c r="E38" i="6"/>
  <c r="D38" i="6"/>
  <c r="C38" i="6"/>
  <c r="B38" i="6"/>
  <c r="G37" i="6"/>
  <c r="F37" i="6"/>
  <c r="E37" i="6"/>
  <c r="D37" i="6"/>
  <c r="C37" i="6"/>
  <c r="B37" i="6"/>
  <c r="G36" i="6"/>
  <c r="F36" i="6"/>
  <c r="E36" i="6"/>
  <c r="D36" i="6"/>
  <c r="C36" i="6"/>
  <c r="B36" i="6"/>
  <c r="AB35" i="6"/>
  <c r="G35" i="6"/>
  <c r="F35" i="6"/>
  <c r="E35" i="6"/>
  <c r="D35" i="6"/>
  <c r="C35" i="6"/>
  <c r="B35" i="6"/>
  <c r="AB34" i="6"/>
  <c r="G34" i="6"/>
  <c r="F34" i="6"/>
  <c r="E34" i="6"/>
  <c r="D34" i="6"/>
  <c r="C34" i="6"/>
  <c r="B34" i="6"/>
  <c r="AB33" i="6"/>
  <c r="G33" i="6"/>
  <c r="F33" i="6"/>
  <c r="E33" i="6"/>
  <c r="D33" i="6"/>
  <c r="C33" i="6"/>
  <c r="B33" i="6"/>
  <c r="AB32" i="6"/>
  <c r="AB36" i="6" s="1"/>
  <c r="G32" i="6"/>
  <c r="F32" i="6"/>
  <c r="E32" i="6"/>
  <c r="D32" i="6"/>
  <c r="C32" i="6"/>
  <c r="B32" i="6"/>
  <c r="G30" i="6"/>
  <c r="P29" i="6"/>
  <c r="O29" i="6"/>
  <c r="H29" i="6"/>
  <c r="P28" i="6"/>
  <c r="O28" i="6"/>
  <c r="K28" i="6"/>
  <c r="H28" i="6"/>
  <c r="P27" i="6"/>
  <c r="O27" i="6"/>
  <c r="K27" i="6"/>
  <c r="H27" i="6"/>
  <c r="P26" i="6"/>
  <c r="O26" i="6"/>
  <c r="L26" i="6"/>
  <c r="K26" i="6"/>
  <c r="H26" i="6"/>
  <c r="H39" i="6" s="1"/>
  <c r="P25" i="6"/>
  <c r="L25" i="6"/>
  <c r="H25" i="6"/>
  <c r="P24" i="6"/>
  <c r="O24" i="6"/>
  <c r="K24" i="6"/>
  <c r="H24" i="6"/>
  <c r="P23" i="6"/>
  <c r="H23" i="6"/>
  <c r="P22" i="6"/>
  <c r="O22" i="6"/>
  <c r="L22" i="6"/>
  <c r="K22" i="6"/>
  <c r="H22" i="6"/>
  <c r="P21" i="6"/>
  <c r="H21" i="6"/>
  <c r="P20" i="6"/>
  <c r="O20" i="6"/>
  <c r="L20" i="6"/>
  <c r="K20" i="6"/>
  <c r="H20" i="6"/>
  <c r="H33" i="6" s="1"/>
  <c r="P19" i="6"/>
  <c r="O19" i="6"/>
  <c r="L19" i="6"/>
  <c r="K19" i="6"/>
  <c r="H19" i="6"/>
  <c r="H32" i="6" s="1"/>
  <c r="P17" i="6"/>
  <c r="N29" i="6"/>
  <c r="M29" i="6"/>
  <c r="L29" i="6"/>
  <c r="H16" i="6"/>
  <c r="N28" i="6"/>
  <c r="M28" i="6"/>
  <c r="X10" i="6"/>
  <c r="H15" i="6"/>
  <c r="N27" i="6"/>
  <c r="M27" i="6"/>
  <c r="H14" i="6"/>
  <c r="N26" i="6"/>
  <c r="H13" i="6"/>
  <c r="O25" i="6"/>
  <c r="N25" i="6"/>
  <c r="M25" i="6"/>
  <c r="H12" i="6"/>
  <c r="N24" i="6"/>
  <c r="M24" i="6"/>
  <c r="L24" i="6"/>
  <c r="H11" i="6"/>
  <c r="W10" i="6"/>
  <c r="O23" i="6"/>
  <c r="N23" i="6"/>
  <c r="M23" i="6"/>
  <c r="L23" i="6"/>
  <c r="H10" i="6"/>
  <c r="W9" i="6"/>
  <c r="N22" i="6"/>
  <c r="H9" i="6"/>
  <c r="W8" i="6"/>
  <c r="O21" i="6"/>
  <c r="N21" i="6"/>
  <c r="M21" i="6"/>
  <c r="L21" i="6"/>
  <c r="K21" i="6"/>
  <c r="H8" i="6"/>
  <c r="W7" i="6"/>
  <c r="W11" i="6" s="1"/>
  <c r="N20" i="6"/>
  <c r="M20" i="6"/>
  <c r="H7" i="6"/>
  <c r="O17" i="6"/>
  <c r="O30" i="6" s="1"/>
  <c r="N19" i="6"/>
  <c r="M19" i="6"/>
  <c r="H6" i="6"/>
  <c r="H17" i="6" s="1"/>
  <c r="L36" i="6" s="1"/>
  <c r="O39" i="3"/>
  <c r="O40" i="3" s="1"/>
  <c r="C25" i="8" l="1"/>
  <c r="AF27" i="8"/>
  <c r="AR33" i="8"/>
  <c r="AP27" i="8" s="1"/>
  <c r="AB25" i="8"/>
  <c r="Q25" i="6"/>
  <c r="Q29" i="6"/>
  <c r="Q23" i="6"/>
  <c r="P30" i="6"/>
  <c r="Q24" i="6"/>
  <c r="Q22" i="7"/>
  <c r="Q25" i="7"/>
  <c r="K30" i="7"/>
  <c r="Q24" i="7"/>
  <c r="Q19" i="7"/>
  <c r="AJ25" i="8"/>
  <c r="AS8" i="8"/>
  <c r="AT8" i="8" s="1"/>
  <c r="AS11" i="8"/>
  <c r="AS13" i="8" s="1"/>
  <c r="S25" i="8"/>
  <c r="BD24" i="8"/>
  <c r="K25" i="8"/>
  <c r="I84" i="7"/>
  <c r="J73" i="7"/>
  <c r="M74" i="7" s="1"/>
  <c r="N74" i="7" s="1"/>
  <c r="C79" i="7"/>
  <c r="D80" i="7"/>
  <c r="Q20" i="7"/>
  <c r="N30" i="7"/>
  <c r="B106" i="7"/>
  <c r="I105" i="7"/>
  <c r="R6" i="7"/>
  <c r="R12" i="7"/>
  <c r="L17" i="7"/>
  <c r="L30" i="7" s="1"/>
  <c r="F78" i="7"/>
  <c r="F79" i="7"/>
  <c r="F81" i="7"/>
  <c r="E90" i="7"/>
  <c r="E101" i="7" s="1"/>
  <c r="G91" i="7"/>
  <c r="G102" i="7" s="1"/>
  <c r="R7" i="7"/>
  <c r="Q10" i="7"/>
  <c r="Q23" i="7" s="1"/>
  <c r="Q13" i="7"/>
  <c r="R13" i="7" s="1"/>
  <c r="L20" i="7"/>
  <c r="C72" i="7" s="1"/>
  <c r="L21" i="7"/>
  <c r="C73" i="7" s="1"/>
  <c r="L22" i="7"/>
  <c r="C74" i="7" s="1"/>
  <c r="L24" i="7"/>
  <c r="L25" i="7"/>
  <c r="C77" i="7" s="1"/>
  <c r="L26" i="7"/>
  <c r="C78" i="7" s="1"/>
  <c r="L27" i="7"/>
  <c r="L28" i="7"/>
  <c r="L29" i="7"/>
  <c r="C81" i="7" s="1"/>
  <c r="F72" i="7"/>
  <c r="G73" i="7"/>
  <c r="G74" i="7"/>
  <c r="C76" i="7"/>
  <c r="G78" i="7"/>
  <c r="G79" i="7"/>
  <c r="G80" i="7"/>
  <c r="G81" i="7"/>
  <c r="F90" i="7"/>
  <c r="F101" i="7" s="1"/>
  <c r="F99" i="7"/>
  <c r="F104" i="7" s="1"/>
  <c r="F106" i="7" s="1"/>
  <c r="F91" i="7"/>
  <c r="F102" i="7" s="1"/>
  <c r="M29" i="7"/>
  <c r="D81" i="7" s="1"/>
  <c r="F75" i="7"/>
  <c r="D76" i="7"/>
  <c r="G90" i="7"/>
  <c r="G101" i="7" s="1"/>
  <c r="E79" i="7"/>
  <c r="D90" i="7"/>
  <c r="D101" i="7" s="1"/>
  <c r="M21" i="7"/>
  <c r="D73" i="7" s="1"/>
  <c r="M28" i="7"/>
  <c r="N21" i="7"/>
  <c r="E73" i="7" s="1"/>
  <c r="G75" i="7"/>
  <c r="F89" i="7"/>
  <c r="F100" i="7" s="1"/>
  <c r="B91" i="7"/>
  <c r="B102" i="7" s="1"/>
  <c r="M22" i="7"/>
  <c r="D74" i="7" s="1"/>
  <c r="Q8" i="7"/>
  <c r="Q21" i="7" s="1"/>
  <c r="O17" i="7"/>
  <c r="O30" i="7" s="1"/>
  <c r="Q16" i="7"/>
  <c r="R16" i="7" s="1"/>
  <c r="P17" i="7"/>
  <c r="P30" i="7" s="1"/>
  <c r="O24" i="7"/>
  <c r="F76" i="7" s="1"/>
  <c r="O25" i="7"/>
  <c r="F77" i="7" s="1"/>
  <c r="B80" i="7"/>
  <c r="G89" i="7"/>
  <c r="G100" i="7" s="1"/>
  <c r="C91" i="7"/>
  <c r="C102" i="7" s="1"/>
  <c r="K22" i="7"/>
  <c r="B74" i="7" s="1"/>
  <c r="R11" i="7"/>
  <c r="P20" i="7"/>
  <c r="G72" i="7" s="1"/>
  <c r="P24" i="7"/>
  <c r="G76" i="7" s="1"/>
  <c r="H30" i="7"/>
  <c r="C80" i="7"/>
  <c r="D91" i="7"/>
  <c r="D102" i="7" s="1"/>
  <c r="Q14" i="7"/>
  <c r="Q27" i="7" s="1"/>
  <c r="Q15" i="7"/>
  <c r="Q27" i="6"/>
  <c r="X7" i="6"/>
  <c r="R6" i="6"/>
  <c r="Q28" i="6"/>
  <c r="X8" i="6"/>
  <c r="R7" i="6"/>
  <c r="Q22" i="6"/>
  <c r="X9" i="6"/>
  <c r="L17" i="6"/>
  <c r="L30" i="6" s="1"/>
  <c r="K25" i="6"/>
  <c r="K29" i="6"/>
  <c r="H30" i="6"/>
  <c r="H37" i="6"/>
  <c r="K17" i="6"/>
  <c r="H34" i="6"/>
  <c r="H36" i="6"/>
  <c r="H38" i="6"/>
  <c r="M17" i="6"/>
  <c r="M30" i="6" s="1"/>
  <c r="G43" i="6"/>
  <c r="R11" i="6"/>
  <c r="K23" i="6"/>
  <c r="L27" i="6"/>
  <c r="L28" i="6"/>
  <c r="R12" i="6"/>
  <c r="N17" i="6"/>
  <c r="N30" i="6" s="1"/>
  <c r="M22" i="6"/>
  <c r="M26" i="6"/>
  <c r="H42" i="6"/>
  <c r="H35" i="6"/>
  <c r="R13" i="6"/>
  <c r="R14" i="6"/>
  <c r="H40" i="6"/>
  <c r="R9" i="6"/>
  <c r="H41" i="6"/>
  <c r="R15" i="6"/>
  <c r="R16" i="6"/>
  <c r="R10" i="6"/>
  <c r="Q19" i="6"/>
  <c r="Q20" i="6"/>
  <c r="Q26" i="6"/>
  <c r="H6" i="3"/>
  <c r="H8" i="3"/>
  <c r="K225" i="4"/>
  <c r="K226" i="4"/>
  <c r="K228" i="4" s="1"/>
  <c r="K229" i="4" s="1"/>
  <c r="K230" i="4" s="1"/>
  <c r="K231" i="4" s="1"/>
  <c r="K233" i="4" s="1"/>
  <c r="K234" i="4" s="1"/>
  <c r="K235" i="4" s="1"/>
  <c r="K236" i="4" s="1"/>
  <c r="K238" i="4" s="1"/>
  <c r="K239" i="4" s="1"/>
  <c r="K240" i="4" s="1"/>
  <c r="K241" i="4" s="1"/>
  <c r="K243" i="4" s="1"/>
  <c r="K244" i="4" s="1"/>
  <c r="K245" i="4" s="1"/>
  <c r="K246" i="4" s="1"/>
  <c r="K248" i="4" s="1"/>
  <c r="K249" i="4" s="1"/>
  <c r="K250" i="4" s="1"/>
  <c r="K251" i="4" s="1"/>
  <c r="K253" i="4" s="1"/>
  <c r="K254" i="4" s="1"/>
  <c r="K255" i="4" s="1"/>
  <c r="K256" i="4" s="1"/>
  <c r="H225" i="4"/>
  <c r="H226" i="4" s="1"/>
  <c r="H227" i="4" s="1"/>
  <c r="H228" i="4" s="1"/>
  <c r="H229" i="4" s="1"/>
  <c r="H230" i="4" s="1"/>
  <c r="H231" i="4" s="1"/>
  <c r="H232" i="4" s="1"/>
  <c r="H233" i="4" s="1"/>
  <c r="H234" i="4" s="1"/>
  <c r="H235" i="4" s="1"/>
  <c r="H236" i="4" s="1"/>
  <c r="H237" i="4" s="1"/>
  <c r="H238" i="4" s="1"/>
  <c r="H239" i="4" s="1"/>
  <c r="H240" i="4" s="1"/>
  <c r="H241" i="4" s="1"/>
  <c r="H242" i="4" s="1"/>
  <c r="H243" i="4" s="1"/>
  <c r="H244" i="4" s="1"/>
  <c r="H245" i="4" s="1"/>
  <c r="H246" i="4" s="1"/>
  <c r="H247" i="4" s="1"/>
  <c r="H248" i="4" s="1"/>
  <c r="H249" i="4" s="1"/>
  <c r="H250" i="4" s="1"/>
  <c r="H251" i="4" s="1"/>
  <c r="H252" i="4" s="1"/>
  <c r="H253" i="4" s="1"/>
  <c r="H254" i="4" s="1"/>
  <c r="H255" i="4" s="1"/>
  <c r="H256" i="4" s="1"/>
  <c r="H257" i="4" s="1"/>
  <c r="K168" i="4"/>
  <c r="K169" i="4" s="1"/>
  <c r="K170" i="4" s="1"/>
  <c r="K171" i="4" s="1"/>
  <c r="K173" i="4" s="1"/>
  <c r="K174" i="4" s="1"/>
  <c r="K175" i="4" s="1"/>
  <c r="K176" i="4" s="1"/>
  <c r="K178" i="4" s="1"/>
  <c r="K179" i="4" s="1"/>
  <c r="K180" i="4" s="1"/>
  <c r="K181" i="4" s="1"/>
  <c r="K183" i="4" s="1"/>
  <c r="K184" i="4" s="1"/>
  <c r="K185" i="4" s="1"/>
  <c r="K186" i="4" s="1"/>
  <c r="K188" i="4" s="1"/>
  <c r="K189" i="4" s="1"/>
  <c r="K190" i="4" s="1"/>
  <c r="K191" i="4" s="1"/>
  <c r="K193" i="4" s="1"/>
  <c r="K194" i="4" s="1"/>
  <c r="K195" i="4" s="1"/>
  <c r="K196" i="4" s="1"/>
  <c r="K198" i="4" s="1"/>
  <c r="K199" i="4" s="1"/>
  <c r="K200" i="4" s="1"/>
  <c r="K201" i="4" s="1"/>
  <c r="K203" i="4" s="1"/>
  <c r="K204" i="4" s="1"/>
  <c r="K205" i="4" s="1"/>
  <c r="K206" i="4" s="1"/>
  <c r="K208" i="4" s="1"/>
  <c r="K209" i="4" s="1"/>
  <c r="K210" i="4" s="1"/>
  <c r="K211" i="4" s="1"/>
  <c r="K213" i="4" s="1"/>
  <c r="K214" i="4" s="1"/>
  <c r="K215" i="4" s="1"/>
  <c r="K216" i="4" s="1"/>
  <c r="K218" i="4" s="1"/>
  <c r="K219" i="4" s="1"/>
  <c r="K220" i="4" s="1"/>
  <c r="K221" i="4" s="1"/>
  <c r="K223" i="4" s="1"/>
  <c r="K224" i="4" s="1"/>
  <c r="K125" i="4"/>
  <c r="K126" i="4" s="1"/>
  <c r="K127" i="4" s="1"/>
  <c r="K128" i="4" s="1"/>
  <c r="K129" i="4" s="1"/>
  <c r="K130" i="4" s="1"/>
  <c r="K131" i="4" s="1"/>
  <c r="K132" i="4" s="1"/>
  <c r="K133" i="4" s="1"/>
  <c r="K134" i="4" s="1"/>
  <c r="K135" i="4" s="1"/>
  <c r="K136" i="4" s="1"/>
  <c r="K138" i="4" s="1"/>
  <c r="K139" i="4" s="1"/>
  <c r="K140" i="4" s="1"/>
  <c r="K141" i="4" s="1"/>
  <c r="K143" i="4" s="1"/>
  <c r="K144" i="4" s="1"/>
  <c r="K145" i="4" s="1"/>
  <c r="K146" i="4" s="1"/>
  <c r="K148" i="4" s="1"/>
  <c r="K149" i="4" s="1"/>
  <c r="K150" i="4" s="1"/>
  <c r="K151" i="4" s="1"/>
  <c r="K153" i="4" s="1"/>
  <c r="K154" i="4" s="1"/>
  <c r="K155" i="4" s="1"/>
  <c r="K156" i="4" s="1"/>
  <c r="K158" i="4" s="1"/>
  <c r="K159" i="4" s="1"/>
  <c r="K160" i="4" s="1"/>
  <c r="K161" i="4" s="1"/>
  <c r="K163" i="4" s="1"/>
  <c r="K164" i="4" s="1"/>
  <c r="K165" i="4" s="1"/>
  <c r="K166" i="4" s="1"/>
  <c r="J9" i="4"/>
  <c r="J4" i="4"/>
  <c r="J5" i="4" s="1"/>
  <c r="J6" i="4" s="1"/>
  <c r="J7" i="4" s="1"/>
  <c r="J8" i="4" s="1"/>
  <c r="J3" i="4"/>
  <c r="I23" i="4"/>
  <c r="I24" i="4" s="1"/>
  <c r="I25" i="4" s="1"/>
  <c r="I26" i="4" s="1"/>
  <c r="I28" i="4" s="1"/>
  <c r="I29" i="4" s="1"/>
  <c r="I30" i="4" s="1"/>
  <c r="I31" i="4" s="1"/>
  <c r="I33" i="4" s="1"/>
  <c r="I34" i="4" s="1"/>
  <c r="I35" i="4" s="1"/>
  <c r="I36" i="4" s="1"/>
  <c r="I38" i="4" s="1"/>
  <c r="I39" i="4" s="1"/>
  <c r="I40" i="4" s="1"/>
  <c r="I41" i="4" s="1"/>
  <c r="I43" i="4" s="1"/>
  <c r="I44" i="4" s="1"/>
  <c r="I45" i="4" s="1"/>
  <c r="I46" i="4" s="1"/>
  <c r="I48" i="4" s="1"/>
  <c r="I49" i="4" s="1"/>
  <c r="I50" i="4" s="1"/>
  <c r="I51" i="4" s="1"/>
  <c r="I53" i="4" s="1"/>
  <c r="I54" i="4" s="1"/>
  <c r="I55" i="4" s="1"/>
  <c r="I56" i="4" s="1"/>
  <c r="I58" i="4" s="1"/>
  <c r="I59" i="4" s="1"/>
  <c r="I60" i="4" s="1"/>
  <c r="I61" i="4" s="1"/>
  <c r="I63" i="4" s="1"/>
  <c r="I64" i="4" s="1"/>
  <c r="I65" i="4" s="1"/>
  <c r="I66" i="4" s="1"/>
  <c r="I68" i="4" s="1"/>
  <c r="I69" i="4" s="1"/>
  <c r="I70" i="4" s="1"/>
  <c r="I71" i="4" s="1"/>
  <c r="I73" i="4" s="1"/>
  <c r="I74" i="4" s="1"/>
  <c r="I75" i="4" s="1"/>
  <c r="I76" i="4" s="1"/>
  <c r="I78" i="4" s="1"/>
  <c r="I79" i="4" s="1"/>
  <c r="I80" i="4" s="1"/>
  <c r="I81" i="4" s="1"/>
  <c r="I83" i="4" s="1"/>
  <c r="I84" i="4" s="1"/>
  <c r="I85" i="4" s="1"/>
  <c r="I86" i="4" s="1"/>
  <c r="I88" i="4" s="1"/>
  <c r="I89" i="4" s="1"/>
  <c r="I90" i="4" s="1"/>
  <c r="I91" i="4" s="1"/>
  <c r="I93" i="4" s="1"/>
  <c r="I94" i="4" s="1"/>
  <c r="I95" i="4" s="1"/>
  <c r="I96" i="4" s="1"/>
  <c r="I98" i="4" s="1"/>
  <c r="I99" i="4" s="1"/>
  <c r="I100" i="4" s="1"/>
  <c r="I101" i="4" s="1"/>
  <c r="I103" i="4" s="1"/>
  <c r="I104" i="4" s="1"/>
  <c r="I105" i="4" s="1"/>
  <c r="I106" i="4" s="1"/>
  <c r="I108" i="4" s="1"/>
  <c r="I109" i="4" s="1"/>
  <c r="I110" i="4" s="1"/>
  <c r="I111" i="4" s="1"/>
  <c r="I113" i="4" s="1"/>
  <c r="I114" i="4" s="1"/>
  <c r="I115" i="4" s="1"/>
  <c r="I116" i="4" s="1"/>
  <c r="I118" i="4" s="1"/>
  <c r="I119" i="4" s="1"/>
  <c r="I120" i="4" s="1"/>
  <c r="I121" i="4" s="1"/>
  <c r="I123" i="4" s="1"/>
  <c r="I124" i="4" s="1"/>
  <c r="I125" i="4" s="1"/>
  <c r="I126" i="4" s="1"/>
  <c r="I128" i="4" s="1"/>
  <c r="I129" i="4" s="1"/>
  <c r="I130" i="4" s="1"/>
  <c r="I131" i="4" s="1"/>
  <c r="I132" i="4" s="1"/>
  <c r="I133" i="4" s="1"/>
  <c r="I134" i="4" s="1"/>
  <c r="I135" i="4" s="1"/>
  <c r="I136" i="4" s="1"/>
  <c r="I137" i="4" s="1"/>
  <c r="I138" i="4" s="1"/>
  <c r="I139" i="4" s="1"/>
  <c r="I140" i="4" s="1"/>
  <c r="I141" i="4" s="1"/>
  <c r="I142" i="4" s="1"/>
  <c r="I143" i="4" s="1"/>
  <c r="I144" i="4" s="1"/>
  <c r="I145" i="4" s="1"/>
  <c r="I146" i="4" s="1"/>
  <c r="I147" i="4" s="1"/>
  <c r="I148" i="4" s="1"/>
  <c r="I149" i="4" s="1"/>
  <c r="I150" i="4" s="1"/>
  <c r="I151" i="4" s="1"/>
  <c r="I152" i="4" s="1"/>
  <c r="I153" i="4" s="1"/>
  <c r="I154" i="4" s="1"/>
  <c r="I155" i="4" s="1"/>
  <c r="I156" i="4" s="1"/>
  <c r="I157" i="4" s="1"/>
  <c r="I158" i="4" s="1"/>
  <c r="I159" i="4" s="1"/>
  <c r="I160" i="4" s="1"/>
  <c r="I161" i="4" s="1"/>
  <c r="I162" i="4" s="1"/>
  <c r="I163" i="4" s="1"/>
  <c r="I164" i="4" s="1"/>
  <c r="I165" i="4" s="1"/>
  <c r="I166" i="4" s="1"/>
  <c r="I167" i="4" s="1"/>
  <c r="I168" i="4" s="1"/>
  <c r="I169" i="4" s="1"/>
  <c r="I170" i="4" s="1"/>
  <c r="I171" i="4" s="1"/>
  <c r="I172" i="4" s="1"/>
  <c r="I173" i="4" s="1"/>
  <c r="I174" i="4" s="1"/>
  <c r="I175" i="4" s="1"/>
  <c r="I176" i="4" s="1"/>
  <c r="I177" i="4" s="1"/>
  <c r="I178" i="4" s="1"/>
  <c r="I179" i="4" s="1"/>
  <c r="I180" i="4" s="1"/>
  <c r="I181" i="4" s="1"/>
  <c r="I182" i="4" s="1"/>
  <c r="I183" i="4" s="1"/>
  <c r="I184" i="4" s="1"/>
  <c r="I185" i="4" s="1"/>
  <c r="I186" i="4" s="1"/>
  <c r="I187" i="4" s="1"/>
  <c r="I188" i="4" s="1"/>
  <c r="I189" i="4" s="1"/>
  <c r="I190" i="4" s="1"/>
  <c r="I191" i="4" s="1"/>
  <c r="I192" i="4" s="1"/>
  <c r="I193" i="4" s="1"/>
  <c r="I194" i="4" s="1"/>
  <c r="I195" i="4" s="1"/>
  <c r="I196" i="4" s="1"/>
  <c r="I197" i="4" s="1"/>
  <c r="I198" i="4" s="1"/>
  <c r="I199" i="4" s="1"/>
  <c r="I200" i="4" s="1"/>
  <c r="I201" i="4" s="1"/>
  <c r="I202" i="4" s="1"/>
  <c r="H156" i="4"/>
  <c r="H157" i="4" s="1"/>
  <c r="H158" i="4" s="1"/>
  <c r="H159" i="4" s="1"/>
  <c r="H160" i="4" s="1"/>
  <c r="H161" i="4" s="1"/>
  <c r="H162" i="4" s="1"/>
  <c r="H163" i="4" s="1"/>
  <c r="H164" i="4" s="1"/>
  <c r="H165" i="4" s="1"/>
  <c r="H166" i="4" s="1"/>
  <c r="H167" i="4" s="1"/>
  <c r="H168" i="4" s="1"/>
  <c r="H169" i="4" s="1"/>
  <c r="H170" i="4" s="1"/>
  <c r="H171" i="4" s="1"/>
  <c r="H172" i="4" s="1"/>
  <c r="H173" i="4" s="1"/>
  <c r="H174" i="4" s="1"/>
  <c r="H175" i="4" s="1"/>
  <c r="H176" i="4" s="1"/>
  <c r="H177" i="4" s="1"/>
  <c r="H178" i="4" s="1"/>
  <c r="H179" i="4" s="1"/>
  <c r="H180" i="4" s="1"/>
  <c r="H181" i="4" s="1"/>
  <c r="H182" i="4" s="1"/>
  <c r="H183" i="4" s="1"/>
  <c r="H184" i="4" s="1"/>
  <c r="H185" i="4" s="1"/>
  <c r="H186" i="4" s="1"/>
  <c r="H187" i="4" s="1"/>
  <c r="H188" i="4" s="1"/>
  <c r="H189" i="4" s="1"/>
  <c r="H190" i="4" s="1"/>
  <c r="H191" i="4" s="1"/>
  <c r="H192" i="4" s="1"/>
  <c r="H193" i="4" s="1"/>
  <c r="H194" i="4" s="1"/>
  <c r="H195" i="4" s="1"/>
  <c r="H196" i="4" s="1"/>
  <c r="H197" i="4" s="1"/>
  <c r="H198" i="4" s="1"/>
  <c r="H199" i="4" s="1"/>
  <c r="H200" i="4" s="1"/>
  <c r="H201" i="4" s="1"/>
  <c r="H202" i="4" s="1"/>
  <c r="H203" i="4" s="1"/>
  <c r="H204" i="4" s="1"/>
  <c r="H205" i="4" s="1"/>
  <c r="H206" i="4" s="1"/>
  <c r="H207" i="4" s="1"/>
  <c r="H208" i="4" s="1"/>
  <c r="H209" i="4" s="1"/>
  <c r="H210" i="4" s="1"/>
  <c r="H211" i="4" s="1"/>
  <c r="H212" i="4" s="1"/>
  <c r="H213" i="4" s="1"/>
  <c r="H214" i="4" s="1"/>
  <c r="H215" i="4" s="1"/>
  <c r="H216" i="4" s="1"/>
  <c r="H217" i="4" s="1"/>
  <c r="H218" i="4" s="1"/>
  <c r="H219" i="4" s="1"/>
  <c r="H220" i="4" s="1"/>
  <c r="H221" i="4" s="1"/>
  <c r="H222" i="4" s="1"/>
  <c r="H223" i="4" s="1"/>
  <c r="H224" i="4" s="1"/>
  <c r="H155" i="4"/>
  <c r="K3" i="4"/>
  <c r="K4" i="4" s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10" i="4" s="1"/>
  <c r="K111" i="4" s="1"/>
  <c r="K112" i="4" s="1"/>
  <c r="K113" i="4" s="1"/>
  <c r="K114" i="4" s="1"/>
  <c r="K115" i="4" s="1"/>
  <c r="K116" i="4" s="1"/>
  <c r="K117" i="4" s="1"/>
  <c r="K118" i="4" s="1"/>
  <c r="K119" i="4" s="1"/>
  <c r="K120" i="4" s="1"/>
  <c r="K121" i="4" s="1"/>
  <c r="K122" i="4" s="1"/>
  <c r="K123" i="4" s="1"/>
  <c r="K124" i="4" s="1"/>
  <c r="K10" i="3"/>
  <c r="AC32" i="8" l="1"/>
  <c r="AB27" i="8"/>
  <c r="AG27" i="8" s="1"/>
  <c r="R8" i="6"/>
  <c r="I79" i="7"/>
  <c r="J80" i="7" s="1"/>
  <c r="Q26" i="7"/>
  <c r="R8" i="7"/>
  <c r="I74" i="7"/>
  <c r="I82" i="7"/>
  <c r="J83" i="7" s="1"/>
  <c r="R15" i="7"/>
  <c r="I77" i="7"/>
  <c r="J78" i="7" s="1"/>
  <c r="I78" i="7"/>
  <c r="J79" i="7" s="1"/>
  <c r="I76" i="7"/>
  <c r="I73" i="7"/>
  <c r="J74" i="7" s="1"/>
  <c r="M75" i="7" s="1"/>
  <c r="N75" i="7" s="1"/>
  <c r="Q17" i="7"/>
  <c r="R38" i="6" s="1"/>
  <c r="I80" i="7"/>
  <c r="R10" i="7"/>
  <c r="R14" i="7"/>
  <c r="AB32" i="8"/>
  <c r="AQ27" i="8"/>
  <c r="AD32" i="8" s="1"/>
  <c r="AF32" i="8"/>
  <c r="I75" i="7"/>
  <c r="J76" i="7" s="1"/>
  <c r="C92" i="7"/>
  <c r="L100" i="7" s="1"/>
  <c r="B92" i="7"/>
  <c r="Q28" i="7"/>
  <c r="I81" i="7"/>
  <c r="E92" i="7"/>
  <c r="G92" i="7"/>
  <c r="D92" i="7"/>
  <c r="Q29" i="7"/>
  <c r="F92" i="7"/>
  <c r="X11" i="6"/>
  <c r="X12" i="6" s="1"/>
  <c r="Q38" i="6"/>
  <c r="Q40" i="6" s="1"/>
  <c r="S56" i="6"/>
  <c r="M56" i="6"/>
  <c r="O56" i="6" s="1"/>
  <c r="Q56" i="6" s="1"/>
  <c r="K30" i="6"/>
  <c r="Q21" i="6"/>
  <c r="J33" i="6"/>
  <c r="H43" i="6"/>
  <c r="J10" i="4"/>
  <c r="J11" i="4" s="1"/>
  <c r="J13" i="4" s="1"/>
  <c r="J15" i="4" s="1"/>
  <c r="J17" i="4" s="1"/>
  <c r="J19" i="4" s="1"/>
  <c r="J21" i="4" s="1"/>
  <c r="J23" i="4" s="1"/>
  <c r="J25" i="4" s="1"/>
  <c r="J27" i="4" s="1"/>
  <c r="J29" i="4" s="1"/>
  <c r="J31" i="4" s="1"/>
  <c r="J33" i="4" s="1"/>
  <c r="J35" i="4" s="1"/>
  <c r="J37" i="4" s="1"/>
  <c r="J38" i="4" s="1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J73" i="4" s="1"/>
  <c r="J74" i="4" s="1"/>
  <c r="J75" i="4" s="1"/>
  <c r="J76" i="4" s="1"/>
  <c r="J77" i="4" s="1"/>
  <c r="J78" i="4" s="1"/>
  <c r="J79" i="4" s="1"/>
  <c r="J80" i="4" s="1"/>
  <c r="J81" i="4" s="1"/>
  <c r="J82" i="4" s="1"/>
  <c r="J83" i="4" s="1"/>
  <c r="J84" i="4" s="1"/>
  <c r="J85" i="4" s="1"/>
  <c r="J86" i="4" s="1"/>
  <c r="J87" i="4" s="1"/>
  <c r="J88" i="4" s="1"/>
  <c r="J89" i="4" s="1"/>
  <c r="J90" i="4" s="1"/>
  <c r="J91" i="4" s="1"/>
  <c r="J92" i="4" s="1"/>
  <c r="J93" i="4" s="1"/>
  <c r="J94" i="4" s="1"/>
  <c r="J95" i="4" s="1"/>
  <c r="J96" i="4" s="1"/>
  <c r="J97" i="4" s="1"/>
  <c r="J98" i="4" s="1"/>
  <c r="J99" i="4" s="1"/>
  <c r="J100" i="4" s="1"/>
  <c r="J101" i="4" s="1"/>
  <c r="J102" i="4" s="1"/>
  <c r="J103" i="4" s="1"/>
  <c r="J104" i="4" s="1"/>
  <c r="J105" i="4" s="1"/>
  <c r="J106" i="4" s="1"/>
  <c r="J107" i="4" s="1"/>
  <c r="J108" i="4" s="1"/>
  <c r="J109" i="4" s="1"/>
  <c r="J110" i="4" s="1"/>
  <c r="J111" i="4" s="1"/>
  <c r="J112" i="4" s="1"/>
  <c r="J113" i="4" s="1"/>
  <c r="J114" i="4" s="1"/>
  <c r="J115" i="4" s="1"/>
  <c r="J116" i="4" s="1"/>
  <c r="J117" i="4" s="1"/>
  <c r="J118" i="4" s="1"/>
  <c r="J119" i="4" s="1"/>
  <c r="J120" i="4" s="1"/>
  <c r="J121" i="4" s="1"/>
  <c r="J122" i="4" s="1"/>
  <c r="J123" i="4" s="1"/>
  <c r="J124" i="4" s="1"/>
  <c r="J125" i="4" s="1"/>
  <c r="J126" i="4" s="1"/>
  <c r="J127" i="4" s="1"/>
  <c r="J128" i="4" s="1"/>
  <c r="I6" i="3"/>
  <c r="L6" i="3" s="1"/>
  <c r="B70" i="2"/>
  <c r="E24" i="2"/>
  <c r="F68" i="10" s="1"/>
  <c r="B68" i="2"/>
  <c r="B66" i="2"/>
  <c r="B76" i="2"/>
  <c r="B77" i="2"/>
  <c r="L19" i="3"/>
  <c r="L18" i="3"/>
  <c r="F73" i="2"/>
  <c r="D26" i="2"/>
  <c r="E70" i="10" s="1"/>
  <c r="D25" i="2"/>
  <c r="E69" i="10" s="1"/>
  <c r="D24" i="2"/>
  <c r="E68" i="10" s="1"/>
  <c r="F39" i="2"/>
  <c r="F38" i="2"/>
  <c r="F37" i="2"/>
  <c r="C26" i="2"/>
  <c r="C25" i="2"/>
  <c r="C24" i="2"/>
  <c r="F11" i="2"/>
  <c r="C10" i="2"/>
  <c r="C11" i="2"/>
  <c r="G11" i="3"/>
  <c r="F11" i="3"/>
  <c r="J7" i="3"/>
  <c r="K7" i="3" s="1"/>
  <c r="J8" i="3"/>
  <c r="K8" i="3" s="1"/>
  <c r="J6" i="3"/>
  <c r="K6" i="3" s="1"/>
  <c r="D11" i="3"/>
  <c r="C11" i="3"/>
  <c r="J11" i="3"/>
  <c r="L10" i="3"/>
  <c r="I8" i="3"/>
  <c r="L8" i="3" s="1"/>
  <c r="I7" i="3"/>
  <c r="L7" i="3" s="1"/>
  <c r="C38" i="3"/>
  <c r="A50" i="3"/>
  <c r="E43" i="3"/>
  <c r="E26" i="2"/>
  <c r="F70" i="10" s="1"/>
  <c r="E25" i="2"/>
  <c r="F69" i="10" s="1"/>
  <c r="E42" i="3"/>
  <c r="E41" i="3"/>
  <c r="E36" i="3"/>
  <c r="C37" i="3"/>
  <c r="C36" i="3"/>
  <c r="F44" i="3"/>
  <c r="H44" i="3"/>
  <c r="D44" i="3"/>
  <c r="B44" i="3"/>
  <c r="B45" i="3" s="1"/>
  <c r="E3" i="4"/>
  <c r="E4" i="4" s="1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E104" i="4" s="1"/>
  <c r="E105" i="4" s="1"/>
  <c r="E106" i="4" s="1"/>
  <c r="E107" i="4" s="1"/>
  <c r="E108" i="4" s="1"/>
  <c r="E109" i="4" s="1"/>
  <c r="E110" i="4" s="1"/>
  <c r="E111" i="4" s="1"/>
  <c r="E112" i="4" s="1"/>
  <c r="E113" i="4" s="1"/>
  <c r="E114" i="4" s="1"/>
  <c r="E115" i="4" s="1"/>
  <c r="E116" i="4" s="1"/>
  <c r="E117" i="4" s="1"/>
  <c r="E118" i="4" s="1"/>
  <c r="E119" i="4" s="1"/>
  <c r="E120" i="4" s="1"/>
  <c r="E121" i="4" s="1"/>
  <c r="E122" i="4" s="1"/>
  <c r="E123" i="4" s="1"/>
  <c r="E124" i="4" s="1"/>
  <c r="E125" i="4" s="1"/>
  <c r="E126" i="4" s="1"/>
  <c r="E127" i="4" s="1"/>
  <c r="E128" i="4" s="1"/>
  <c r="E129" i="4" s="1"/>
  <c r="E130" i="4" s="1"/>
  <c r="E131" i="4" s="1"/>
  <c r="E133" i="4" s="1"/>
  <c r="E134" i="4" s="1"/>
  <c r="E135" i="4" s="1"/>
  <c r="E138" i="4" s="1"/>
  <c r="E139" i="4" s="1"/>
  <c r="E140" i="4" s="1"/>
  <c r="E141" i="4" s="1"/>
  <c r="E143" i="4" s="1"/>
  <c r="E144" i="4" s="1"/>
  <c r="E145" i="4" s="1"/>
  <c r="E146" i="4" s="1"/>
  <c r="E148" i="4" s="1"/>
  <c r="E149" i="4" s="1"/>
  <c r="E150" i="4" s="1"/>
  <c r="E151" i="4" s="1"/>
  <c r="E153" i="4" s="1"/>
  <c r="E154" i="4" s="1"/>
  <c r="E155" i="4" s="1"/>
  <c r="E156" i="4" s="1"/>
  <c r="E158" i="4" s="1"/>
  <c r="E159" i="4" s="1"/>
  <c r="E160" i="4" s="1"/>
  <c r="E161" i="4" s="1"/>
  <c r="E163" i="4" s="1"/>
  <c r="E164" i="4" s="1"/>
  <c r="E165" i="4" s="1"/>
  <c r="E166" i="4" s="1"/>
  <c r="E168" i="4" s="1"/>
  <c r="E169" i="4" s="1"/>
  <c r="E170" i="4" s="1"/>
  <c r="E171" i="4" s="1"/>
  <c r="E173" i="4" s="1"/>
  <c r="E174" i="4" s="1"/>
  <c r="E175" i="4" s="1"/>
  <c r="E176" i="4" s="1"/>
  <c r="E178" i="4" s="1"/>
  <c r="E179" i="4" s="1"/>
  <c r="E180" i="4" s="1"/>
  <c r="E181" i="4" s="1"/>
  <c r="E183" i="4" s="1"/>
  <c r="E184" i="4" s="1"/>
  <c r="E185" i="4" s="1"/>
  <c r="E186" i="4" s="1"/>
  <c r="E187" i="4" s="1"/>
  <c r="E188" i="4" s="1"/>
  <c r="E189" i="4" s="1"/>
  <c r="E190" i="4" s="1"/>
  <c r="E191" i="4" s="1"/>
  <c r="E192" i="4" s="1"/>
  <c r="E193" i="4" s="1"/>
  <c r="E194" i="4" s="1"/>
  <c r="E195" i="4" s="1"/>
  <c r="E196" i="4" s="1"/>
  <c r="E197" i="4" s="1"/>
  <c r="E198" i="4" s="1"/>
  <c r="E199" i="4" s="1"/>
  <c r="E200" i="4" s="1"/>
  <c r="E201" i="4" s="1"/>
  <c r="E202" i="4" s="1"/>
  <c r="E203" i="4" s="1"/>
  <c r="E204" i="4" s="1"/>
  <c r="E205" i="4" s="1"/>
  <c r="E206" i="4" s="1"/>
  <c r="E207" i="4" s="1"/>
  <c r="E208" i="4" s="1"/>
  <c r="E209" i="4" s="1"/>
  <c r="E210" i="4" s="1"/>
  <c r="E211" i="4" s="1"/>
  <c r="E212" i="4" s="1"/>
  <c r="E213" i="4" s="1"/>
  <c r="E214" i="4" s="1"/>
  <c r="E215" i="4" s="1"/>
  <c r="E216" i="4" s="1"/>
  <c r="E217" i="4" s="1"/>
  <c r="E218" i="4" s="1"/>
  <c r="E219" i="4" s="1"/>
  <c r="E220" i="4" s="1"/>
  <c r="E221" i="4" s="1"/>
  <c r="E222" i="4" s="1"/>
  <c r="E223" i="4" s="1"/>
  <c r="E224" i="4" s="1"/>
  <c r="A155" i="4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H68" i="10" l="1"/>
  <c r="I68" i="10" s="1"/>
  <c r="H69" i="10"/>
  <c r="I69" i="10" s="1"/>
  <c r="H70" i="10"/>
  <c r="I70" i="10" s="1"/>
  <c r="D3" i="2"/>
  <c r="G45" i="3"/>
  <c r="C45" i="3"/>
  <c r="E67" i="2" s="1"/>
  <c r="G68" i="2" s="1"/>
  <c r="AG32" i="8"/>
  <c r="R17" i="6"/>
  <c r="Q30" i="6"/>
  <c r="J75" i="7"/>
  <c r="Q30" i="7"/>
  <c r="J77" i="7"/>
  <c r="J82" i="7"/>
  <c r="M76" i="7" s="1"/>
  <c r="N76" i="7" s="1"/>
  <c r="J81" i="7"/>
  <c r="S38" i="6"/>
  <c r="R40" i="6"/>
  <c r="S40" i="6" s="1"/>
  <c r="L99" i="7"/>
  <c r="L98" i="7"/>
  <c r="I87" i="7"/>
  <c r="M77" i="7" s="1"/>
  <c r="N77" i="7" s="1"/>
  <c r="F46" i="3"/>
  <c r="E49" i="3" s="1"/>
  <c r="H10" i="3"/>
  <c r="P10" i="3" s="1"/>
  <c r="Q10" i="3" s="1"/>
  <c r="F25" i="2"/>
  <c r="G25" i="2" s="1"/>
  <c r="F26" i="2"/>
  <c r="G26" i="2" s="1"/>
  <c r="F24" i="2"/>
  <c r="G24" i="2" s="1"/>
  <c r="G27" i="2" s="1"/>
  <c r="K11" i="3"/>
  <c r="E65" i="2"/>
  <c r="F74" i="2"/>
  <c r="F75" i="2" s="1"/>
  <c r="L11" i="3"/>
  <c r="M7" i="3"/>
  <c r="M6" i="3"/>
  <c r="M8" i="3"/>
  <c r="M10" i="3"/>
  <c r="L20" i="3"/>
  <c r="E44" i="3"/>
  <c r="E46" i="3" s="1"/>
  <c r="C44" i="3"/>
  <c r="G3" i="2" s="1"/>
  <c r="F76" i="2" l="1"/>
  <c r="G77" i="2" s="1"/>
  <c r="I71" i="10"/>
  <c r="H83" i="10" s="1"/>
  <c r="H82" i="10"/>
  <c r="G70" i="2"/>
  <c r="S41" i="6"/>
  <c r="L102" i="7"/>
  <c r="M98" i="7" s="1"/>
  <c r="E29" i="2"/>
  <c r="M11" i="3"/>
  <c r="N11" i="3" s="1"/>
  <c r="D4" i="2" s="1"/>
  <c r="G66" i="2"/>
  <c r="D29" i="2"/>
  <c r="N8" i="3"/>
  <c r="G4" i="2" s="1"/>
  <c r="G5" i="2" s="1"/>
  <c r="C60" i="3"/>
  <c r="C46" i="3"/>
  <c r="E48" i="3" s="1"/>
  <c r="E50" i="3" s="1"/>
  <c r="H84" i="10" l="1"/>
  <c r="H85" i="10" s="1"/>
  <c r="H86" i="10" s="1"/>
  <c r="G81" i="2"/>
  <c r="M100" i="7"/>
  <c r="M99" i="7"/>
  <c r="D5" i="2"/>
  <c r="D39" i="2"/>
  <c r="G39" i="2" s="1"/>
  <c r="D38" i="2"/>
  <c r="G38" i="2" s="1"/>
  <c r="D37" i="2"/>
  <c r="G37" i="2" s="1"/>
  <c r="F29" i="2"/>
  <c r="G29" i="2" l="1"/>
  <c r="G40" i="2"/>
  <c r="D8" i="2" l="1"/>
  <c r="G31" i="2"/>
  <c r="G8" i="2"/>
  <c r="G10" i="2" s="1"/>
  <c r="G51" i="2" l="1"/>
  <c r="D7" i="2"/>
  <c r="D9" i="2" s="1"/>
  <c r="G7" i="2"/>
  <c r="G9" i="2" s="1"/>
  <c r="D10" i="2" l="1"/>
  <c r="D11" i="2" s="1"/>
  <c r="G11" i="2"/>
  <c r="G12" i="2" s="1"/>
  <c r="D18" i="2" l="1"/>
  <c r="F18" i="2" s="1"/>
  <c r="G59" i="2" l="1"/>
  <c r="D12" i="2"/>
  <c r="G18" i="2"/>
  <c r="D19" i="2"/>
  <c r="F19" i="2" s="1"/>
  <c r="D14" i="2" l="1"/>
  <c r="G56" i="2" s="1"/>
  <c r="G14" i="2"/>
  <c r="G50" i="2" s="1"/>
  <c r="F20" i="2"/>
  <c r="G33" i="2" s="1"/>
  <c r="G58" i="2" l="1"/>
  <c r="G19" i="2"/>
  <c r="G20" i="2" s="1"/>
  <c r="G57" i="2" s="1"/>
  <c r="G60" i="2" l="1"/>
  <c r="D44" i="2" l="1"/>
  <c r="D45" i="2" s="1"/>
  <c r="G45" i="2" s="1"/>
  <c r="G47" i="2" s="1"/>
  <c r="G52" i="2" l="1"/>
  <c r="G53" i="2" s="1"/>
  <c r="G62" i="2" s="1"/>
  <c r="G83" i="2" s="1"/>
  <c r="G1" i="3" s="1"/>
</calcChain>
</file>

<file path=xl/comments1.xml><?xml version="1.0" encoding="utf-8"?>
<comments xmlns="http://schemas.openxmlformats.org/spreadsheetml/2006/main">
  <authors>
    <author>tc={5F80F011-0D9B-421C-B554-CFB3E2AE3432}</author>
    <author>tc={EE4EABA8-AC7A-431A-8B70-4D21A2E0041F}</author>
  </authors>
  <commentList>
    <comment ref="B10" authorId="0" shapeId="0">
      <text>
        <r>
          <rPr>
            <sz val="12"/>
            <color theme="1"/>
            <rFont val="Calibri"/>
            <family val="2"/>
            <scheme val="minor"/>
          </rPr>
          <t>[Trådet kommentar]
Din version af Excel lader dig læse denne trådede kommentar. Eventuelle ændringer vil dog blive fjernet, hvis filen åbnes i en nyere version af Excel. Få mere at vide: https://go.microsoft.com/fwlink/?linkid=870924
Kommentar:
    Heilur fiskur</t>
        </r>
      </text>
    </comment>
    <comment ref="B11" authorId="1" shapeId="0">
      <text>
        <r>
          <rPr>
            <sz val="12"/>
            <color theme="1"/>
            <rFont val="Calibri"/>
            <family val="2"/>
            <scheme val="minor"/>
          </rPr>
          <t>[Trådet kommentar]
Din version af Excel lader dig læse denne trådede kommentar. Eventuelle ændringer vil dog blive fjernet, hvis filen åbnes i en nyere version af Excel. Få mere at vide: https://go.microsoft.com/fwlink/?linkid=870924
Kommentar:
    Heilur fiskur</t>
        </r>
      </text>
    </comment>
  </commentList>
</comments>
</file>

<file path=xl/sharedStrings.xml><?xml version="1.0" encoding="utf-8"?>
<sst xmlns="http://schemas.openxmlformats.org/spreadsheetml/2006/main" count="951" uniqueCount="344">
  <si>
    <t>pr. Kg.</t>
  </si>
  <si>
    <t>Makrelur</t>
  </si>
  <si>
    <t>Barentshav</t>
  </si>
  <si>
    <t>kg. Íalt</t>
  </si>
  <si>
    <t>avreiðingarvvirðið</t>
  </si>
  <si>
    <t>prísur</t>
  </si>
  <si>
    <t>Sv. Kjaftur</t>
  </si>
  <si>
    <t>Barentshavi</t>
  </si>
  <si>
    <t>Uppsjóvarskip</t>
  </si>
  <si>
    <t>pakningur</t>
  </si>
  <si>
    <t>Úrslit áðrenn hýru</t>
  </si>
  <si>
    <t>Hýra</t>
  </si>
  <si>
    <t>Sild</t>
  </si>
  <si>
    <t>munur</t>
  </si>
  <si>
    <t>Úrslit áðrenn paknin</t>
  </si>
  <si>
    <t>skattur íalt</t>
  </si>
  <si>
    <t>kg.</t>
  </si>
  <si>
    <t>Tilfeingisgjald</t>
  </si>
  <si>
    <t>Íalt</t>
  </si>
  <si>
    <t>íalt</t>
  </si>
  <si>
    <t>kr.</t>
  </si>
  <si>
    <t>Úrslit áðrenn tilfeingisgjald</t>
  </si>
  <si>
    <t>Uppsjóvarfiskur:</t>
  </si>
  <si>
    <t>Eftir til reiðaríi</t>
  </si>
  <si>
    <t>russisk skip</t>
  </si>
  <si>
    <t>frá 1 spríl. til 31 oktober kunnu verða</t>
  </si>
  <si>
    <t xml:space="preserve"> frá1 januar til 31 mars kunnu verða</t>
  </si>
  <si>
    <t>Sv. Kjaft</t>
  </si>
  <si>
    <t>Botnfiskur við Føroyar</t>
  </si>
  <si>
    <t>Rækjurnar í Barentsh.</t>
  </si>
  <si>
    <t>Dagar</t>
  </si>
  <si>
    <t>pr. túr</t>
  </si>
  <si>
    <t>pr. dag</t>
  </si>
  <si>
    <t>Sigling</t>
  </si>
  <si>
    <t>Olja</t>
  </si>
  <si>
    <t>Prísur</t>
  </si>
  <si>
    <t>pr. kg.</t>
  </si>
  <si>
    <t>Makrel</t>
  </si>
  <si>
    <t>Barentsh.</t>
  </si>
  <si>
    <t>Kvota</t>
  </si>
  <si>
    <t>Russland</t>
  </si>
  <si>
    <t>Norra</t>
  </si>
  <si>
    <t>Brosma</t>
  </si>
  <si>
    <t>Rækjur</t>
  </si>
  <si>
    <t>annað</t>
  </si>
  <si>
    <t>longa</t>
  </si>
  <si>
    <t>kvota í kg.</t>
  </si>
  <si>
    <t>ár</t>
  </si>
  <si>
    <t>avreitt</t>
  </si>
  <si>
    <t>í kg.</t>
  </si>
  <si>
    <t>Tilfeingis</t>
  </si>
  <si>
    <t>Hýra:</t>
  </si>
  <si>
    <t>Nótask.</t>
  </si>
  <si>
    <t>Onnur</t>
  </si>
  <si>
    <t>Oljuprísur</t>
  </si>
  <si>
    <t>Hjáveiðu %</t>
  </si>
  <si>
    <t>Hjáveiða</t>
  </si>
  <si>
    <t>Fø. Skip</t>
  </si>
  <si>
    <t>avrei. Virði</t>
  </si>
  <si>
    <t>Avrei.virðið íalt</t>
  </si>
  <si>
    <t>Um føroyingar veiddu fø. Kvotuna</t>
  </si>
  <si>
    <t>Samla søla úr Barentshavinum</t>
  </si>
  <si>
    <t>Tøl úr Barentshavinum</t>
  </si>
  <si>
    <t>Avreiðingar</t>
  </si>
  <si>
    <t>virðið</t>
  </si>
  <si>
    <t>fiski</t>
  </si>
  <si>
    <t>dagar</t>
  </si>
  <si>
    <t>Túrar</t>
  </si>
  <si>
    <t>veiðu</t>
  </si>
  <si>
    <t>Virðisøking á landi pr. kg.</t>
  </si>
  <si>
    <t>frá 1 november til 31 desember kunnu verða</t>
  </si>
  <si>
    <t>í netto gevur uppisjóvarfiskurin meira virðisvøkstur á</t>
  </si>
  <si>
    <t>prísi</t>
  </si>
  <si>
    <t>Pr. kg.</t>
  </si>
  <si>
    <t>Skattur</t>
  </si>
  <si>
    <t>í %</t>
  </si>
  <si>
    <t>Virðisøking:</t>
  </si>
  <si>
    <t>gjald % av</t>
  </si>
  <si>
    <t>prísi pr. kg.</t>
  </si>
  <si>
    <t>= netto meira inn tøka til Fø. Samfelagið samanlagt</t>
  </si>
  <si>
    <t>Botnfiskur íalt</t>
  </si>
  <si>
    <t>hjá russum í Fø. sjógvi</t>
  </si>
  <si>
    <t>Botnfiskur hjáveiða Russar við Føroyar</t>
  </si>
  <si>
    <t>+framsíða!C34</t>
  </si>
  <si>
    <t>Til ymiskar útrokningar</t>
  </si>
  <si>
    <t>= netto meira inntøka til Fø. Samfelagið samanlagt</t>
  </si>
  <si>
    <t>Netto</t>
  </si>
  <si>
    <t>løn</t>
  </si>
  <si>
    <t>Flak úrtøka</t>
  </si>
  <si>
    <t>Fø. Botnfiski</t>
  </si>
  <si>
    <t>Fø.botnfiski</t>
  </si>
  <si>
    <t>Hýra línuskip</t>
  </si>
  <si>
    <t>Hýra trolara</t>
  </si>
  <si>
    <t>av avreiðingarvirðinum</t>
  </si>
  <si>
    <t>Meira inntøka frá Uppsjóvarskipunum:</t>
  </si>
  <si>
    <t>BH. Pakningur</t>
  </si>
  <si>
    <t>Olja, Pakningur og hjáveiða hjá Russum:</t>
  </si>
  <si>
    <t>Netto meira til Reiðaríðini</t>
  </si>
  <si>
    <t xml:space="preserve">Netto meira hýra </t>
  </si>
  <si>
    <t xml:space="preserve">Netto meira skattur </t>
  </si>
  <si>
    <t xml:space="preserve">Netto meira onnur gjøld </t>
  </si>
  <si>
    <t>Netto meira til Reiðaríini</t>
  </si>
  <si>
    <t>Netto meira í tilfeingisgjald</t>
  </si>
  <si>
    <t>Netto meira  í virðisøking</t>
  </si>
  <si>
    <t>- Meira inntøka frá Barentshavinum:</t>
  </si>
  <si>
    <t>Flakaúrtøka og hýru % Fø. Fiskiskip og yvirskot</t>
  </si>
  <si>
    <t>Yvirkskot</t>
  </si>
  <si>
    <t>Onnur lønargj.</t>
  </si>
  <si>
    <t>fiska</t>
  </si>
  <si>
    <t>heilur fiskur</t>
  </si>
  <si>
    <t>miðalprísur</t>
  </si>
  <si>
    <t>Úrtøka</t>
  </si>
  <si>
    <t>avhøvda</t>
  </si>
  <si>
    <t>fyrst heilt</t>
  </si>
  <si>
    <t>Søla í kg. fyri hvørt skipið</t>
  </si>
  <si>
    <t>flak</t>
  </si>
  <si>
    <t>Umrokna til heilan fisk</t>
  </si>
  <si>
    <t>Akraberg</t>
  </si>
  <si>
    <t>Enniberg</t>
  </si>
  <si>
    <t>Gadus</t>
  </si>
  <si>
    <t>Sjúrðarberg</t>
  </si>
  <si>
    <t>Jógvan I</t>
  </si>
  <si>
    <t>Arctic Viking</t>
  </si>
  <si>
    <t>Tils.</t>
  </si>
  <si>
    <t>Toskur</t>
  </si>
  <si>
    <t>kvota Íalt</t>
  </si>
  <si>
    <t>fiska Íalt</t>
  </si>
  <si>
    <t>Hýsa</t>
  </si>
  <si>
    <t>tons</t>
  </si>
  <si>
    <t>Upsi</t>
  </si>
  <si>
    <t>hýsa</t>
  </si>
  <si>
    <t>Kongafiskur</t>
  </si>
  <si>
    <t>Flatfiskur o.a.</t>
  </si>
  <si>
    <t>Longa</t>
  </si>
  <si>
    <t>rækjur</t>
  </si>
  <si>
    <t>Steinbítur</t>
  </si>
  <si>
    <t>Munur</t>
  </si>
  <si>
    <t>Svartkalvi</t>
  </si>
  <si>
    <t>Reyðsprøka</t>
  </si>
  <si>
    <t>Annað</t>
  </si>
  <si>
    <t>Søla í Kr. fyri hvørt skipið</t>
  </si>
  <si>
    <t>Miðalprísur pr. kg. Heilur fiskur</t>
  </si>
  <si>
    <t>Miðalprísur</t>
  </si>
  <si>
    <t>upsi</t>
  </si>
  <si>
    <t>toskur</t>
  </si>
  <si>
    <t>makrelur</t>
  </si>
  <si>
    <t>Akraberg - FD0010 (XPLH)</t>
  </si>
  <si>
    <t>Enniberg - TN0180 (XPXL)</t>
  </si>
  <si>
    <t>Gadus - KG0180 (XPXO)</t>
  </si>
  <si>
    <t>Sjúrðarberg - KG0184 (OW2104)</t>
  </si>
  <si>
    <t>Jógvan I - FD0710 (OW2049)</t>
  </si>
  <si>
    <t>Arctic Viking - VN0123 (OW2399)</t>
  </si>
  <si>
    <t xml:space="preserve">Toskur </t>
  </si>
  <si>
    <t>Bruttovinningur</t>
  </si>
  <si>
    <t>Starvsfólkakostnaður</t>
  </si>
  <si>
    <t>Annar rakstrark.</t>
  </si>
  <si>
    <t>Avskrivingar</t>
  </si>
  <si>
    <t>Úrslit áðrenn rentur</t>
  </si>
  <si>
    <t>Fíggjarligar innt.</t>
  </si>
  <si>
    <t>Fíggjarligar útr.</t>
  </si>
  <si>
    <t>Úrslit áðrenn óv. p.</t>
  </si>
  <si>
    <t>Óvanligir postar</t>
  </si>
  <si>
    <t>Úrslit áðrenn skatt</t>
  </si>
  <si>
    <t>Ársins úrslit</t>
  </si>
  <si>
    <t>Ogn</t>
  </si>
  <si>
    <t>Støðisogn</t>
  </si>
  <si>
    <t>Ogn í umferð</t>
  </si>
  <si>
    <t>Ogn íalt</t>
  </si>
  <si>
    <t>Rakstur</t>
  </si>
  <si>
    <t>P/F NORTH PELAGIC</t>
  </si>
  <si>
    <t>Pelagos</t>
  </si>
  <si>
    <t>Varðin Pelagic</t>
  </si>
  <si>
    <t>Kollafj. Pelagic</t>
  </si>
  <si>
    <t>Svartkjaftur</t>
  </si>
  <si>
    <t>Lodna</t>
  </si>
  <si>
    <t>sild</t>
  </si>
  <si>
    <t>svartkjaftur</t>
  </si>
  <si>
    <t>Bakkafrost</t>
  </si>
  <si>
    <t>eigur um</t>
  </si>
  <si>
    <t>mett at um 60% av sv. kjaftinum blívur landa til Havsbrún</t>
  </si>
  <si>
    <t>um 23% av s.kjaftinum blívur partur av hvørjum kg. Í Havsbrún framleiðis</t>
  </si>
  <si>
    <t>Um Bakkafrost slaktar</t>
  </si>
  <si>
    <t>seld fyri</t>
  </si>
  <si>
    <t>yvirskot</t>
  </si>
  <si>
    <t>23% stavar frá sv. kjafti</t>
  </si>
  <si>
    <t>Havsabrún</t>
  </si>
  <si>
    <t>virðisøking pr. kg. Sild &amp; makrel</t>
  </si>
  <si>
    <t>virðisøking pr. kg. Í meðal</t>
  </si>
  <si>
    <t>viðmerkingar til virðisøking</t>
  </si>
  <si>
    <t>tað er ikki tikið við at nøkur skip hava landa til Havsbrún frá øðrum londum</t>
  </si>
  <si>
    <t>tað er ikki tikið við at nøkur føroysk skip hava landa aðrastaðni</t>
  </si>
  <si>
    <t>tað er ikki tiki við virðisøkingina hjá øllum føroysku fyritøkunum, sum servisera hesi virkini og skipini</t>
  </si>
  <si>
    <t>norðborg</t>
  </si>
  <si>
    <t>tangabátar</t>
  </si>
  <si>
    <t>landa</t>
  </si>
  <si>
    <t>í havi aftur</t>
  </si>
  <si>
    <t>fiskaðu í 2021</t>
  </si>
  <si>
    <t>lønargjøld</t>
  </si>
  <si>
    <t>dag Fiskarí</t>
  </si>
  <si>
    <t>Olja pr.</t>
  </si>
  <si>
    <t xml:space="preserve">Olja pr. </t>
  </si>
  <si>
    <t>dag sigling</t>
  </si>
  <si>
    <t>virðisøking pr. kg. Sv. kjafti</t>
  </si>
  <si>
    <t>Kg. Heilur fiskur</t>
  </si>
  <si>
    <t>Barentshav:</t>
  </si>
  <si>
    <t>Flak</t>
  </si>
  <si>
    <t>kvota 2021</t>
  </si>
  <si>
    <t>smb. vørn</t>
  </si>
  <si>
    <t>Skorðin til flak í Føroyum:</t>
  </si>
  <si>
    <t>Barentshavið:</t>
  </si>
  <si>
    <t>pr. kg. Landað vekt</t>
  </si>
  <si>
    <t>smb. havsbrún so fyllir suppsjóvarfiskur 40% í fóðrinum</t>
  </si>
  <si>
    <t>sum samanlagt ganga nøkurlunda upp móti hvørjum øðrum</t>
  </si>
  <si>
    <t>Sum er ein stór virðisøking í samfelagnum, men eg havi ikki tey tølini tøk.</t>
  </si>
  <si>
    <t>Avhøvda</t>
  </si>
  <si>
    <t>heilt</t>
  </si>
  <si>
    <t>avreiðingarvirðið</t>
  </si>
  <si>
    <t>Nota 1</t>
  </si>
  <si>
    <t>Barentshavs fiskiskapur</t>
  </si>
  <si>
    <t>Uppsjóvar skip</t>
  </si>
  <si>
    <t>Svartkj.</t>
  </si>
  <si>
    <t>á kr.</t>
  </si>
  <si>
    <t>kr. íalt</t>
  </si>
  <si>
    <t>nøgd í kg.</t>
  </si>
  <si>
    <t>Nota 2</t>
  </si>
  <si>
    <t>nøgd</t>
  </si>
  <si>
    <t>túrar</t>
  </si>
  <si>
    <t>kr. pr. litur</t>
  </si>
  <si>
    <t>Fiskiskap</t>
  </si>
  <si>
    <t>Olja í alt í kr.</t>
  </si>
  <si>
    <t>fiskidagar</t>
  </si>
  <si>
    <t>Olja fiskisk.</t>
  </si>
  <si>
    <t>Landa nøgd úr Barentshavinum</t>
  </si>
  <si>
    <t>kr. pr. kg.</t>
  </si>
  <si>
    <t>Nota 3</t>
  </si>
  <si>
    <t>Nota 4</t>
  </si>
  <si>
    <t>Heilur fiskur</t>
  </si>
  <si>
    <t>tilf. Gjald</t>
  </si>
  <si>
    <t>tilf. Gjald %</t>
  </si>
  <si>
    <t>av miðalpr.</t>
  </si>
  <si>
    <t>Tílfeingisgj.</t>
  </si>
  <si>
    <t>Nota 5</t>
  </si>
  <si>
    <t>% av netto</t>
  </si>
  <si>
    <t>lønargjld*</t>
  </si>
  <si>
    <t>% av lønuni</t>
  </si>
  <si>
    <t>Uppsjóvarskip:</t>
  </si>
  <si>
    <t>- tilfeingisgjald</t>
  </si>
  <si>
    <t>Netto at rokna hýru av</t>
  </si>
  <si>
    <t>Nota</t>
  </si>
  <si>
    <t>miðal</t>
  </si>
  <si>
    <t>Nota 6</t>
  </si>
  <si>
    <t>Varðin</t>
  </si>
  <si>
    <t>Pelagic</t>
  </si>
  <si>
    <t>North</t>
  </si>
  <si>
    <t>Kollafj.</t>
  </si>
  <si>
    <t>** í so ósikrum tíðum verða vanliga goymslur niðurskrivaðar</t>
  </si>
  <si>
    <t xml:space="preserve">    men av tí at ein partur av ong í umferð er rokna við 10%</t>
  </si>
  <si>
    <t>10%**</t>
  </si>
  <si>
    <t>virðisøking</t>
  </si>
  <si>
    <t>Íalt sum ferð inn á virkini</t>
  </si>
  <si>
    <t xml:space="preserve"> t. Kr.</t>
  </si>
  <si>
    <t>virðisvøkstur pr. kg fyri Sild og Makrel.</t>
  </si>
  <si>
    <t>40%***</t>
  </si>
  <si>
    <t>***smb. havsbrún, so ferð uml. 40% av uppsjóvarfiskið til hvørt kg. Fóður</t>
  </si>
  <si>
    <t xml:space="preserve"> dividerast við </t>
  </si>
  <si>
    <t>171.602 t.kg.</t>
  </si>
  <si>
    <t>t. Kg.</t>
  </si>
  <si>
    <t>Stytt til 1.000 kg.</t>
  </si>
  <si>
    <t>virðisvøkstur pr. kg fyri Svartkjaft</t>
  </si>
  <si>
    <t>Agn-høgguslokkur</t>
  </si>
  <si>
    <t>Lakstobis</t>
  </si>
  <si>
    <t>Prikkafiskur</t>
  </si>
  <si>
    <t>Gulllaksur</t>
  </si>
  <si>
    <t>Rognkelsi</t>
  </si>
  <si>
    <t>Svartfiskur</t>
  </si>
  <si>
    <t>svattkja.</t>
  </si>
  <si>
    <t>Svart-fiskur</t>
  </si>
  <si>
    <t>Rogn-kelsi</t>
  </si>
  <si>
    <t>Agn-høggus-lokkur</t>
  </si>
  <si>
    <t>Prikka-fiskur</t>
  </si>
  <si>
    <t>Laks-tobis</t>
  </si>
  <si>
    <t>Hjáveiða íalt</t>
  </si>
  <si>
    <t>svart-kjaftur</t>
  </si>
  <si>
    <t>Tíðarskeiðið frá 10-10-2004 til 7-12-2004</t>
  </si>
  <si>
    <t>Tíðarskeiðið frá 24-5-2005  til 5-6-2005</t>
  </si>
  <si>
    <t>miðal báðar túrarnar</t>
  </si>
  <si>
    <t>virðisøking í Fø. 6,- kr. kg.</t>
  </si>
  <si>
    <t>= netto meira inntøka av virðisøking frá uppisjovarfiski</t>
  </si>
  <si>
    <t>= Netto meira inntøka inntøka frá uppisjóvarfiski</t>
  </si>
  <si>
    <t>= Netto inntøka til Føroyar, um vit fiskaði kvotuna sjálvi</t>
  </si>
  <si>
    <t>Norska botnfiskakvotan og hjáveiða hjá russum við Føroyar</t>
  </si>
  <si>
    <t>*</t>
  </si>
  <si>
    <r>
      <rPr>
        <i/>
        <sz val="10"/>
        <color rgb="FFFF0000"/>
        <rFont val="Calibri"/>
        <family val="2"/>
        <scheme val="minor"/>
      </rPr>
      <t xml:space="preserve">* </t>
    </r>
    <r>
      <rPr>
        <i/>
        <sz val="10"/>
        <color theme="1"/>
        <rFont val="Calibri"/>
        <family val="2"/>
        <scheme val="minor"/>
      </rPr>
      <t>meting, út frá kanning</t>
    </r>
    <r>
      <rPr>
        <i/>
        <sz val="10"/>
        <rFont val="Arial Nova"/>
        <family val="2"/>
      </rPr>
      <t xml:space="preserve"> av hjáveiðu, hjá Havstovuni umborð á Næraberg í 2004 og 2005</t>
    </r>
  </si>
  <si>
    <t>% av miðal</t>
  </si>
  <si>
    <t>= netto gjalda uppisjóvarfiskurin meira í almennu kassarnar</t>
  </si>
  <si>
    <t>= Barentshavi gjalda meira í skatt til Landskassan</t>
  </si>
  <si>
    <t>Virðisøking Sild og makrelur</t>
  </si>
  <si>
    <t>Starvsfólkakost.</t>
  </si>
  <si>
    <t>Virðisøking Sild og makrelur:</t>
  </si>
  <si>
    <t>Tons landa av føroyskum skipum av sild og makreli:</t>
  </si>
  <si>
    <t>- Norðborg</t>
  </si>
  <si>
    <t>= Tangabátar</t>
  </si>
  <si>
    <t>virðisøking á virkjunum</t>
  </si>
  <si>
    <t>=</t>
  </si>
  <si>
    <t>kg. landað til virkini</t>
  </si>
  <si>
    <t>virðisvøkstur pr. kg. Landa</t>
  </si>
  <si>
    <t>Tons landa av føroyskum skipum av Svartkjafti:</t>
  </si>
  <si>
    <t>t. Kr.</t>
  </si>
  <si>
    <t>virðisøking í alt av Svartkjafti</t>
  </si>
  <si>
    <t>virðisvøkstur pr. kg. landa av sild og makreli</t>
  </si>
  <si>
    <t>oljunýtsla</t>
  </si>
  <si>
    <r>
      <t>10%</t>
    </r>
    <r>
      <rPr>
        <sz val="12"/>
        <color rgb="FFFF0000"/>
        <rFont val="Calibri"/>
        <family val="2"/>
        <scheme val="minor"/>
      </rPr>
      <t>**</t>
    </r>
  </si>
  <si>
    <t>Íalt í t. Kr.</t>
  </si>
  <si>
    <t>virðisvøkstur =</t>
  </si>
  <si>
    <r>
      <t>40%</t>
    </r>
    <r>
      <rPr>
        <sz val="12"/>
        <color rgb="FFFF0000"/>
        <rFont val="Calibri"/>
        <family val="2"/>
        <scheme val="minor"/>
      </rPr>
      <t>***</t>
    </r>
  </si>
  <si>
    <r>
      <rPr>
        <sz val="12"/>
        <color rgb="FFFF0000"/>
        <rFont val="Calibri"/>
        <family val="2"/>
        <scheme val="minor"/>
      </rPr>
      <t>***</t>
    </r>
    <r>
      <rPr>
        <sz val="12"/>
        <color theme="1"/>
        <rFont val="Calibri"/>
        <family val="2"/>
        <scheme val="minor"/>
      </rPr>
      <t>smb. havsbrún, so ferð uml. 40% av uppsjóvarfiskið til hvørt kg. Fóður</t>
    </r>
  </si>
  <si>
    <t>virðisvøkstur pr. kg. Landa av svartkjafti =</t>
  </si>
  <si>
    <t>olja
sigling</t>
  </si>
  <si>
    <t>Dagar
sigling</t>
  </si>
  <si>
    <t>Olja til fiskarí</t>
  </si>
  <si>
    <r>
      <rPr>
        <sz val="12"/>
        <color rgb="FFFF0000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>umrokna til heilan fisk</t>
    </r>
  </si>
  <si>
    <r>
      <t>Flak</t>
    </r>
    <r>
      <rPr>
        <sz val="12"/>
        <color rgb="FFFF0000"/>
        <rFont val="Calibri"/>
        <family val="2"/>
        <scheme val="minor"/>
      </rPr>
      <t>*</t>
    </r>
  </si>
  <si>
    <r>
      <t>avhøvda</t>
    </r>
    <r>
      <rPr>
        <sz val="12"/>
        <color rgb="FFFF0000"/>
        <rFont val="Calibri"/>
        <family val="2"/>
        <scheme val="minor"/>
      </rPr>
      <t>*</t>
    </r>
  </si>
  <si>
    <r>
      <t>Avhøvd&amp;rækjur</t>
    </r>
    <r>
      <rPr>
        <sz val="12"/>
        <color rgb="FFFF0000"/>
        <rFont val="Calibri"/>
        <family val="2"/>
        <scheme val="minor"/>
      </rPr>
      <t>*</t>
    </r>
  </si>
  <si>
    <t>Umr. Til heilan fisk:</t>
  </si>
  <si>
    <t>Nøgd í kg. umrokna til heilan fisk</t>
  </si>
  <si>
    <t>* Barsilskipanin + ALS + arbeiðsmarknaðareftirløngjald</t>
  </si>
  <si>
    <r>
      <rPr>
        <sz val="12"/>
        <color rgb="FFFF0000"/>
        <rFont val="Calibri"/>
        <family val="2"/>
        <scheme val="minor"/>
      </rPr>
      <t>**</t>
    </r>
    <r>
      <rPr>
        <sz val="12"/>
        <color theme="1"/>
        <rFont val="Calibri"/>
        <family val="2"/>
        <scheme val="minor"/>
      </rPr>
      <t xml:space="preserve"> í framtíðarútlitum eru ivasom, verða vanliga goymslur niðurskrivaðar, men av tí,</t>
    </r>
  </si>
  <si>
    <t>- Barentshav</t>
  </si>
  <si>
    <t>= Uppisjóvarfiskur gjalda meira í  Landskassan</t>
  </si>
  <si>
    <t>- Uppisjóvarskip</t>
  </si>
  <si>
    <t>- Barentshavið:</t>
  </si>
  <si>
    <t>Starvsfólkakostnaðir:</t>
  </si>
  <si>
    <t>virðisvøkstur pr. kg.</t>
  </si>
  <si>
    <t>t.kr.</t>
  </si>
  <si>
    <t>Starvsfólka kostnaður at arbeiða fiskim Føroyar læta fyri Barentshavið</t>
  </si>
  <si>
    <t>ársverk</t>
  </si>
  <si>
    <t>kg. íalt landa til føroysk virkir</t>
  </si>
  <si>
    <t>samla nøgd í tonsum uppsjóvarkvota fyri Barentshavið</t>
  </si>
  <si>
    <t>av uppsjóvarfiskið til hvørt kg. Fóður</t>
  </si>
  <si>
    <t>Um eitt ársverk verður rokna til 350. t. Kr., so svar hettar til</t>
  </si>
  <si>
    <t xml:space="preserve">      at ein partur av "ong í umferð" er skuldarar, er bert 10% brúkt, sum niðurskriving</t>
  </si>
  <si>
    <t>Virðisøking uppsjóvarfiskur</t>
  </si>
  <si>
    <t>Tifeingisgjald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</si>
</sst>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kr.&quot;_-;\-* #,##0\ &quot;kr.&quot;_-;_-* &quot;-&quot;\ &quot;kr.&quot;_-;_-@_-"/>
    <numFmt numFmtId="44" formatCode="_-* #,##0.00\ &quot;kr.&quot;_-;\-* #,##0.00\ &quot;kr.&quot;_-;_-* &quot;-&quot;??\ &quot;kr.&quot;_-;_-@_-"/>
    <numFmt numFmtId="164" formatCode="_-* #,##0.00_-;\-* #,##0.00_-;_-* &quot;-&quot;??_-;_-@_-"/>
    <numFmt numFmtId="165" formatCode="_-* #,##0_-;\-* #,##0_-;_-* &quot;-&quot;??_-;_-@_-"/>
    <numFmt numFmtId="166" formatCode="0.0%"/>
    <numFmt numFmtId="167" formatCode="#,##0_ ;\-#,##0\ "/>
    <numFmt numFmtId="168" formatCode="#,##0.0_ ;\-#,##0.0\ "/>
    <numFmt numFmtId="169" formatCode="General_)"/>
    <numFmt numFmtId="170" formatCode="@*."/>
    <numFmt numFmtId="171" formatCode="0.0"/>
    <numFmt numFmtId="172" formatCode="0.000%"/>
    <numFmt numFmtId="173" formatCode="0.00_ ;\-0.00\ "/>
  </numFmts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Arial Nova"/>
      <family val="2"/>
    </font>
    <font>
      <b/>
      <sz val="11"/>
      <color indexed="8"/>
      <name val="Arial Nova"/>
      <family val="2"/>
    </font>
    <font>
      <b/>
      <sz val="12"/>
      <color indexed="8"/>
      <name val="Arial Nova"/>
      <family val="2"/>
    </font>
    <font>
      <sz val="12"/>
      <color rgb="FFFF0000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Arial Nova"/>
      <family val="2"/>
    </font>
    <font>
      <i/>
      <sz val="10"/>
      <color rgb="FFFF0000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rgb="FFFF0000"/>
      </left>
      <right/>
      <top/>
      <bottom/>
      <diagonal/>
    </border>
    <border>
      <left/>
      <right style="dotted">
        <color rgb="FFFF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rgb="FFFF0000"/>
      </left>
      <right style="dotted">
        <color rgb="FFFF0000"/>
      </right>
      <top style="dotted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999999"/>
      </top>
      <bottom/>
      <diagonal/>
    </border>
    <border>
      <left style="thin">
        <color indexed="64"/>
      </left>
      <right/>
      <top style="medium">
        <color rgb="FF999999"/>
      </top>
      <bottom/>
      <diagonal/>
    </border>
    <border>
      <left style="medium">
        <color rgb="FF999999"/>
      </left>
      <right/>
      <top style="medium">
        <color rgb="FF999999"/>
      </top>
      <bottom/>
      <diagonal/>
    </border>
    <border>
      <left style="medium">
        <color rgb="FF000000"/>
      </left>
      <right/>
      <top style="medium">
        <color rgb="FF999999"/>
      </top>
      <bottom/>
      <diagonal/>
    </border>
    <border>
      <left style="medium">
        <color rgb="FF000000"/>
      </left>
      <right style="medium">
        <color rgb="FF999999"/>
      </right>
      <top style="medium">
        <color rgb="FF999999"/>
      </top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999999"/>
      </left>
      <right/>
      <top/>
      <bottom style="medium">
        <color rgb="FF999999"/>
      </bottom>
      <diagonal/>
    </border>
    <border>
      <left style="medium">
        <color rgb="FF000000"/>
      </left>
      <right/>
      <top/>
      <bottom style="medium">
        <color rgb="FF999999"/>
      </bottom>
      <diagonal/>
    </border>
    <border>
      <left/>
      <right style="medium">
        <color rgb="FF999999"/>
      </right>
      <top style="medium">
        <color rgb="FF999999"/>
      </top>
      <bottom/>
      <diagonal/>
    </border>
    <border>
      <left style="medium">
        <color rgb="FF999999"/>
      </left>
      <right/>
      <top/>
      <bottom/>
      <diagonal/>
    </border>
    <border>
      <left style="medium">
        <color rgb="FF000000"/>
      </left>
      <right style="medium">
        <color rgb="FF999999"/>
      </right>
      <top/>
      <bottom/>
      <diagonal/>
    </border>
    <border>
      <left style="medium">
        <color rgb="FF000000"/>
      </left>
      <right style="medium">
        <color rgb="FF999999"/>
      </right>
      <top/>
      <bottom style="medium">
        <color rgb="FF99999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169" fontId="8" fillId="0" borderId="0"/>
    <xf numFmtId="0" fontId="15" fillId="0" borderId="0" applyNumberFormat="0" applyFill="0" applyBorder="0" applyAlignment="0" applyProtection="0"/>
  </cellStyleXfs>
  <cellXfs count="409">
    <xf numFmtId="0" fontId="0" fillId="0" borderId="0" xfId="0"/>
    <xf numFmtId="0" fontId="0" fillId="0" borderId="4" xfId="0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4" xfId="0" applyBorder="1" applyAlignment="1">
      <alignment horizontal="right"/>
    </xf>
    <xf numFmtId="0" fontId="6" fillId="0" borderId="0" xfId="0" applyFont="1"/>
    <xf numFmtId="167" fontId="0" fillId="0" borderId="0" xfId="1" applyNumberFormat="1" applyFont="1" applyAlignment="1">
      <alignment horizontal="center"/>
    </xf>
    <xf numFmtId="166" fontId="0" fillId="0" borderId="0" xfId="0" applyNumberFormat="1"/>
    <xf numFmtId="10" fontId="0" fillId="0" borderId="0" xfId="0" applyNumberFormat="1"/>
    <xf numFmtId="0" fontId="0" fillId="4" borderId="0" xfId="0" applyFill="1"/>
    <xf numFmtId="167" fontId="0" fillId="4" borderId="0" xfId="1" applyNumberFormat="1" applyFont="1" applyFill="1" applyAlignment="1">
      <alignment horizontal="center"/>
    </xf>
    <xf numFmtId="0" fontId="3" fillId="0" borderId="3" xfId="0" applyFont="1" applyBorder="1"/>
    <xf numFmtId="164" fontId="0" fillId="0" borderId="0" xfId="1" applyFont="1" applyAlignment="1">
      <alignment horizontal="center"/>
    </xf>
    <xf numFmtId="167" fontId="0" fillId="0" borderId="4" xfId="1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167" fontId="0" fillId="0" borderId="4" xfId="1" applyNumberFormat="1" applyFont="1" applyBorder="1" applyAlignment="1">
      <alignment horizontal="right"/>
    </xf>
    <xf numFmtId="167" fontId="0" fillId="0" borderId="0" xfId="0" applyNumberFormat="1"/>
    <xf numFmtId="167" fontId="3" fillId="0" borderId="0" xfId="0" applyNumberFormat="1" applyFont="1"/>
    <xf numFmtId="167" fontId="0" fillId="0" borderId="4" xfId="0" applyNumberFormat="1" applyBorder="1"/>
    <xf numFmtId="0" fontId="3" fillId="0" borderId="1" xfId="0" applyFont="1" applyBorder="1" applyAlignment="1">
      <alignment horizontal="center"/>
    </xf>
    <xf numFmtId="168" fontId="0" fillId="0" borderId="0" xfId="0" applyNumberFormat="1"/>
    <xf numFmtId="166" fontId="0" fillId="4" borderId="13" xfId="2" applyNumberFormat="1" applyFont="1" applyFill="1" applyBorder="1"/>
    <xf numFmtId="165" fontId="0" fillId="0" borderId="0" xfId="1" applyNumberFormat="1" applyFont="1" applyBorder="1" applyAlignment="1">
      <alignment horizontal="right"/>
    </xf>
    <xf numFmtId="165" fontId="0" fillId="0" borderId="14" xfId="1" applyNumberFormat="1" applyFont="1" applyBorder="1" applyAlignment="1">
      <alignment horizontal="right"/>
    </xf>
    <xf numFmtId="0" fontId="0" fillId="4" borderId="0" xfId="0" applyFill="1" applyAlignment="1" applyProtection="1">
      <alignment horizontal="center"/>
      <protection locked="0"/>
    </xf>
    <xf numFmtId="164" fontId="0" fillId="0" borderId="0" xfId="1" applyFont="1" applyAlignment="1" applyProtection="1">
      <alignment horizontal="center"/>
      <protection locked="0"/>
    </xf>
    <xf numFmtId="10" fontId="0" fillId="0" borderId="0" xfId="2" applyNumberFormat="1" applyFont="1" applyProtection="1">
      <protection locked="0"/>
    </xf>
    <xf numFmtId="0" fontId="0" fillId="0" borderId="0" xfId="0" applyProtection="1">
      <protection locked="0"/>
    </xf>
    <xf numFmtId="165" fontId="0" fillId="4" borderId="0" xfId="1" applyNumberFormat="1" applyFont="1" applyFill="1" applyBorder="1" applyAlignment="1">
      <alignment horizontal="right"/>
    </xf>
    <xf numFmtId="165" fontId="0" fillId="4" borderId="14" xfId="1" applyNumberFormat="1" applyFont="1" applyFill="1" applyBorder="1" applyAlignment="1">
      <alignment horizontal="right"/>
    </xf>
    <xf numFmtId="164" fontId="0" fillId="4" borderId="16" xfId="1" applyFont="1" applyFill="1" applyBorder="1" applyAlignment="1">
      <alignment horizontal="center"/>
    </xf>
    <xf numFmtId="0" fontId="0" fillId="0" borderId="9" xfId="0" applyBorder="1"/>
    <xf numFmtId="0" fontId="2" fillId="0" borderId="6" xfId="0" applyFont="1" applyBorder="1"/>
    <xf numFmtId="0" fontId="0" fillId="0" borderId="8" xfId="0" applyBorder="1"/>
    <xf numFmtId="0" fontId="0" fillId="0" borderId="10" xfId="0" applyBorder="1"/>
    <xf numFmtId="0" fontId="0" fillId="0" borderId="1" xfId="0" applyBorder="1"/>
    <xf numFmtId="3" fontId="0" fillId="0" borderId="0" xfId="0" applyNumberFormat="1"/>
    <xf numFmtId="0" fontId="0" fillId="0" borderId="2" xfId="0" applyBorder="1"/>
    <xf numFmtId="3" fontId="0" fillId="0" borderId="4" xfId="0" applyNumberFormat="1" applyBorder="1"/>
    <xf numFmtId="0" fontId="3" fillId="0" borderId="1" xfId="0" applyFont="1" applyBorder="1"/>
    <xf numFmtId="3" fontId="3" fillId="0" borderId="0" xfId="0" applyNumberFormat="1" applyFont="1"/>
    <xf numFmtId="0" fontId="0" fillId="3" borderId="0" xfId="0" applyFill="1"/>
    <xf numFmtId="3" fontId="0" fillId="3" borderId="4" xfId="0" applyNumberFormat="1" applyFill="1" applyBorder="1"/>
    <xf numFmtId="0" fontId="0" fillId="2" borderId="0" xfId="0" applyFill="1"/>
    <xf numFmtId="3" fontId="0" fillId="2" borderId="4" xfId="0" applyNumberFormat="1" applyFill="1" applyBorder="1"/>
    <xf numFmtId="0" fontId="5" fillId="3" borderId="1" xfId="0" applyFont="1" applyFill="1" applyBorder="1" applyAlignment="1">
      <alignment horizontal="right"/>
    </xf>
    <xf numFmtId="10" fontId="5" fillId="3" borderId="0" xfId="0" applyNumberFormat="1" applyFont="1" applyFill="1" applyAlignment="1">
      <alignment horizontal="right"/>
    </xf>
    <xf numFmtId="3" fontId="5" fillId="3" borderId="0" xfId="0" applyNumberFormat="1" applyFont="1" applyFill="1"/>
    <xf numFmtId="10" fontId="0" fillId="2" borderId="0" xfId="0" applyNumberFormat="1" applyFill="1" applyAlignment="1">
      <alignment horizontal="right"/>
    </xf>
    <xf numFmtId="3" fontId="0" fillId="2" borderId="0" xfId="0" applyNumberFormat="1" applyFill="1"/>
    <xf numFmtId="0" fontId="2" fillId="0" borderId="1" xfId="0" applyFont="1" applyBorder="1"/>
    <xf numFmtId="0" fontId="2" fillId="0" borderId="0" xfId="0" applyFont="1" applyAlignment="1">
      <alignment horizontal="right"/>
    </xf>
    <xf numFmtId="3" fontId="2" fillId="0" borderId="7" xfId="0" applyNumberFormat="1" applyFont="1" applyBorder="1"/>
    <xf numFmtId="0" fontId="0" fillId="0" borderId="3" xfId="0" applyBorder="1"/>
    <xf numFmtId="3" fontId="3" fillId="0" borderId="4" xfId="0" applyNumberFormat="1" applyFont="1" applyBorder="1"/>
    <xf numFmtId="0" fontId="0" fillId="0" borderId="5" xfId="0" applyBorder="1"/>
    <xf numFmtId="0" fontId="3" fillId="0" borderId="8" xfId="0" applyFont="1" applyBorder="1"/>
    <xf numFmtId="0" fontId="4" fillId="0" borderId="1" xfId="0" applyFont="1" applyBorder="1"/>
    <xf numFmtId="9" fontId="0" fillId="3" borderId="0" xfId="0" applyNumberFormat="1" applyFill="1" applyAlignment="1">
      <alignment horizontal="center"/>
    </xf>
    <xf numFmtId="3" fontId="0" fillId="3" borderId="0" xfId="0" applyNumberFormat="1" applyFill="1"/>
    <xf numFmtId="3" fontId="0" fillId="6" borderId="4" xfId="0" applyNumberFormat="1" applyFill="1" applyBorder="1"/>
    <xf numFmtId="9" fontId="0" fillId="6" borderId="4" xfId="0" applyNumberFormat="1" applyFill="1" applyBorder="1" applyAlignment="1">
      <alignment horizontal="center"/>
    </xf>
    <xf numFmtId="0" fontId="3" fillId="0" borderId="5" xfId="0" applyFont="1" applyBorder="1"/>
    <xf numFmtId="0" fontId="4" fillId="0" borderId="0" xfId="0" applyFont="1"/>
    <xf numFmtId="9" fontId="3" fillId="0" borderId="0" xfId="0" applyNumberFormat="1" applyFont="1" applyAlignment="1">
      <alignment horizontal="center"/>
    </xf>
    <xf numFmtId="9" fontId="0" fillId="0" borderId="0" xfId="0" applyNumberFormat="1"/>
    <xf numFmtId="0" fontId="4" fillId="0" borderId="9" xfId="0" applyFont="1" applyBorder="1"/>
    <xf numFmtId="9" fontId="3" fillId="0" borderId="8" xfId="0" applyNumberFormat="1" applyFont="1" applyBorder="1" applyAlignment="1">
      <alignment horizontal="center"/>
    </xf>
    <xf numFmtId="164" fontId="0" fillId="3" borderId="0" xfId="1" applyFont="1" applyFill="1" applyBorder="1" applyProtection="1"/>
    <xf numFmtId="166" fontId="0" fillId="3" borderId="0" xfId="2" applyNumberFormat="1" applyFont="1" applyFill="1" applyBorder="1" applyProtection="1"/>
    <xf numFmtId="164" fontId="0" fillId="0" borderId="0" xfId="1" applyFont="1" applyProtection="1"/>
    <xf numFmtId="170" fontId="9" fillId="6" borderId="1" xfId="4" applyNumberFormat="1" applyFont="1" applyFill="1" applyBorder="1"/>
    <xf numFmtId="166" fontId="0" fillId="2" borderId="0" xfId="2" applyNumberFormat="1" applyFont="1" applyFill="1" applyBorder="1" applyProtection="1"/>
    <xf numFmtId="164" fontId="0" fillId="2" borderId="4" xfId="0" applyNumberFormat="1" applyFill="1" applyBorder="1"/>
    <xf numFmtId="166" fontId="0" fillId="2" borderId="4" xfId="2" applyNumberFormat="1" applyFont="1" applyFill="1" applyBorder="1" applyProtection="1"/>
    <xf numFmtId="44" fontId="0" fillId="2" borderId="4" xfId="0" applyNumberFormat="1" applyFill="1" applyBorder="1"/>
    <xf numFmtId="3" fontId="3" fillId="0" borderId="6" xfId="0" applyNumberFormat="1" applyFont="1" applyBorder="1"/>
    <xf numFmtId="0" fontId="3" fillId="0" borderId="12" xfId="0" applyFont="1" applyBorder="1"/>
    <xf numFmtId="3" fontId="0" fillId="3" borderId="6" xfId="0" applyNumberFormat="1" applyFill="1" applyBorder="1"/>
    <xf numFmtId="164" fontId="0" fillId="3" borderId="6" xfId="1" applyFont="1" applyFill="1" applyBorder="1" applyAlignment="1" applyProtection="1">
      <alignment horizontal="right"/>
    </xf>
    <xf numFmtId="165" fontId="3" fillId="3" borderId="6" xfId="1" applyNumberFormat="1" applyFont="1" applyFill="1" applyBorder="1" applyProtection="1"/>
    <xf numFmtId="164" fontId="0" fillId="2" borderId="0" xfId="1" applyFont="1" applyFill="1" applyBorder="1" applyAlignment="1" applyProtection="1">
      <alignment horizontal="center"/>
    </xf>
    <xf numFmtId="165" fontId="0" fillId="2" borderId="0" xfId="1" applyNumberFormat="1" applyFont="1" applyFill="1" applyBorder="1" applyProtection="1"/>
    <xf numFmtId="164" fontId="0" fillId="2" borderId="4" xfId="1" applyFont="1" applyFill="1" applyBorder="1" applyAlignment="1" applyProtection="1">
      <alignment horizontal="center"/>
    </xf>
    <xf numFmtId="165" fontId="0" fillId="2" borderId="4" xfId="1" applyNumberFormat="1" applyFont="1" applyFill="1" applyBorder="1" applyProtection="1"/>
    <xf numFmtId="0" fontId="3" fillId="0" borderId="2" xfId="0" applyFont="1" applyBorder="1"/>
    <xf numFmtId="0" fontId="3" fillId="0" borderId="9" xfId="0" applyFont="1" applyBorder="1"/>
    <xf numFmtId="3" fontId="0" fillId="0" borderId="2" xfId="0" applyNumberFormat="1" applyBorder="1"/>
    <xf numFmtId="3" fontId="3" fillId="3" borderId="4" xfId="0" applyNumberFormat="1" applyFont="1" applyFill="1" applyBorder="1"/>
    <xf numFmtId="3" fontId="3" fillId="0" borderId="5" xfId="0" applyNumberFormat="1" applyFont="1" applyBorder="1"/>
    <xf numFmtId="3" fontId="3" fillId="0" borderId="10" xfId="0" applyNumberFormat="1" applyFont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3" fillId="3" borderId="0" xfId="0" applyNumberFormat="1" applyFont="1" applyFill="1"/>
    <xf numFmtId="3" fontId="3" fillId="0" borderId="2" xfId="0" applyNumberFormat="1" applyFont="1" applyBorder="1"/>
    <xf numFmtId="3" fontId="3" fillId="6" borderId="0" xfId="0" applyNumberFormat="1" applyFont="1" applyFill="1"/>
    <xf numFmtId="165" fontId="3" fillId="2" borderId="6" xfId="1" applyNumberFormat="1" applyFont="1" applyFill="1" applyBorder="1" applyProtection="1"/>
    <xf numFmtId="10" fontId="0" fillId="0" borderId="0" xfId="2" applyNumberFormat="1" applyFont="1" applyAlignment="1" applyProtection="1">
      <alignment horizontal="right"/>
    </xf>
    <xf numFmtId="167" fontId="0" fillId="0" borderId="0" xfId="1" applyNumberFormat="1" applyFont="1" applyAlignment="1" applyProtection="1">
      <alignment horizontal="center"/>
    </xf>
    <xf numFmtId="167" fontId="0" fillId="4" borderId="0" xfId="1" applyNumberFormat="1" applyFont="1" applyFill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167" fontId="0" fillId="4" borderId="1" xfId="1" applyNumberFormat="1" applyFont="1" applyFill="1" applyBorder="1" applyAlignment="1" applyProtection="1">
      <alignment horizontal="center"/>
    </xf>
    <xf numFmtId="167" fontId="0" fillId="0" borderId="1" xfId="1" applyNumberFormat="1" applyFont="1" applyBorder="1" applyAlignment="1" applyProtection="1">
      <alignment horizontal="center"/>
    </xf>
    <xf numFmtId="167" fontId="0" fillId="0" borderId="3" xfId="1" applyNumberFormat="1" applyFont="1" applyBorder="1" applyAlignment="1" applyProtection="1">
      <alignment horizontal="center"/>
    </xf>
    <xf numFmtId="0" fontId="3" fillId="0" borderId="1" xfId="0" quotePrefix="1" applyFont="1" applyBorder="1"/>
    <xf numFmtId="0" fontId="0" fillId="0" borderId="8" xfId="0" applyBorder="1" applyAlignment="1">
      <alignment horizontal="left"/>
    </xf>
    <xf numFmtId="1" fontId="0" fillId="0" borderId="0" xfId="0" applyNumberFormat="1"/>
    <xf numFmtId="0" fontId="3" fillId="0" borderId="6" xfId="0" applyFont="1" applyBorder="1" applyAlignment="1">
      <alignment horizontal="center"/>
    </xf>
    <xf numFmtId="3" fontId="13" fillId="8" borderId="18" xfId="0" applyNumberFormat="1" applyFont="1" applyFill="1" applyBorder="1" applyAlignment="1">
      <alignment horizontal="right" vertical="center" wrapText="1"/>
    </xf>
    <xf numFmtId="3" fontId="0" fillId="9" borderId="9" xfId="0" applyNumberFormat="1" applyFill="1" applyBorder="1"/>
    <xf numFmtId="9" fontId="0" fillId="0" borderId="10" xfId="2" applyFont="1" applyBorder="1"/>
    <xf numFmtId="3" fontId="0" fillId="10" borderId="1" xfId="0" applyNumberFormat="1" applyFill="1" applyBorder="1"/>
    <xf numFmtId="9" fontId="0" fillId="0" borderId="2" xfId="2" applyFont="1" applyBorder="1"/>
    <xf numFmtId="0" fontId="13" fillId="8" borderId="19" xfId="0" applyFont="1" applyFill="1" applyBorder="1" applyAlignment="1">
      <alignment vertical="center" wrapText="1"/>
    </xf>
    <xf numFmtId="3" fontId="0" fillId="2" borderId="3" xfId="0" applyNumberFormat="1" applyFill="1" applyBorder="1"/>
    <xf numFmtId="9" fontId="0" fillId="0" borderId="5" xfId="2" applyFont="1" applyBorder="1"/>
    <xf numFmtId="0" fontId="13" fillId="11" borderId="21" xfId="0" applyFont="1" applyFill="1" applyBorder="1" applyAlignment="1">
      <alignment horizontal="left" vertical="center" wrapText="1"/>
    </xf>
    <xf numFmtId="0" fontId="13" fillId="11" borderId="22" xfId="0" applyFont="1" applyFill="1" applyBorder="1" applyAlignment="1">
      <alignment horizontal="left" vertical="center" wrapText="1"/>
    </xf>
    <xf numFmtId="0" fontId="13" fillId="11" borderId="19" xfId="0" applyFont="1" applyFill="1" applyBorder="1" applyAlignment="1">
      <alignment horizontal="left" vertical="center" wrapText="1"/>
    </xf>
    <xf numFmtId="0" fontId="13" fillId="11" borderId="23" xfId="0" applyFont="1" applyFill="1" applyBorder="1" applyAlignment="1">
      <alignment horizontal="left" vertical="center" wrapText="1"/>
    </xf>
    <xf numFmtId="0" fontId="13" fillId="11" borderId="18" xfId="0" applyFont="1" applyFill="1" applyBorder="1" applyAlignment="1">
      <alignment horizontal="left" vertical="center" wrapText="1"/>
    </xf>
    <xf numFmtId="3" fontId="14" fillId="0" borderId="18" xfId="0" applyNumberFormat="1" applyFont="1" applyBorder="1" applyAlignment="1">
      <alignment horizontal="right" vertical="center" wrapText="1"/>
    </xf>
    <xf numFmtId="3" fontId="13" fillId="0" borderId="18" xfId="0" applyNumberFormat="1" applyFont="1" applyBorder="1" applyAlignment="1">
      <alignment horizontal="right" vertical="center" wrapText="1"/>
    </xf>
    <xf numFmtId="3" fontId="0" fillId="9" borderId="0" xfId="0" applyNumberFormat="1" applyFill="1"/>
    <xf numFmtId="164" fontId="0" fillId="0" borderId="0" xfId="1" applyFont="1"/>
    <xf numFmtId="3" fontId="14" fillId="8" borderId="18" xfId="0" applyNumberFormat="1" applyFont="1" applyFill="1" applyBorder="1" applyAlignment="1">
      <alignment horizontal="right" vertical="center" wrapText="1"/>
    </xf>
    <xf numFmtId="0" fontId="14" fillId="0" borderId="18" xfId="0" applyFont="1" applyBorder="1" applyAlignment="1">
      <alignment vertical="center" wrapText="1"/>
    </xf>
    <xf numFmtId="0" fontId="14" fillId="8" borderId="18" xfId="0" applyFont="1" applyFill="1" applyBorder="1" applyAlignment="1">
      <alignment vertical="center" wrapText="1"/>
    </xf>
    <xf numFmtId="0" fontId="14" fillId="0" borderId="18" xfId="0" applyFont="1" applyBorder="1" applyAlignment="1">
      <alignment horizontal="right" vertical="center" wrapText="1"/>
    </xf>
    <xf numFmtId="3" fontId="0" fillId="10" borderId="0" xfId="0" applyNumberFormat="1" applyFill="1"/>
    <xf numFmtId="3" fontId="14" fillId="0" borderId="24" xfId="0" applyNumberFormat="1" applyFont="1" applyBorder="1" applyAlignment="1">
      <alignment horizontal="right" vertical="center" wrapText="1"/>
    </xf>
    <xf numFmtId="3" fontId="13" fillId="0" borderId="24" xfId="0" applyNumberFormat="1" applyFont="1" applyBorder="1" applyAlignment="1">
      <alignment horizontal="right" vertical="center" wrapText="1"/>
    </xf>
    <xf numFmtId="3" fontId="0" fillId="9" borderId="4" xfId="0" applyNumberFormat="1" applyFill="1" applyBorder="1"/>
    <xf numFmtId="164" fontId="0" fillId="0" borderId="4" xfId="1" applyFont="1" applyBorder="1"/>
    <xf numFmtId="0" fontId="13" fillId="8" borderId="25" xfId="0" applyFont="1" applyFill="1" applyBorder="1" applyAlignment="1">
      <alignment vertical="center" wrapText="1"/>
    </xf>
    <xf numFmtId="3" fontId="14" fillId="8" borderId="26" xfId="0" applyNumberFormat="1" applyFont="1" applyFill="1" applyBorder="1" applyAlignment="1">
      <alignment horizontal="right" vertical="center" wrapText="1"/>
    </xf>
    <xf numFmtId="3" fontId="13" fillId="8" borderId="26" xfId="0" applyNumberFormat="1" applyFont="1" applyFill="1" applyBorder="1" applyAlignment="1">
      <alignment horizontal="right" vertical="center" wrapText="1"/>
    </xf>
    <xf numFmtId="164" fontId="3" fillId="0" borderId="0" xfId="1" applyFont="1"/>
    <xf numFmtId="164" fontId="14" fillId="0" borderId="18" xfId="1" applyFont="1" applyBorder="1" applyAlignment="1">
      <alignment horizontal="right" vertical="center" wrapText="1"/>
    </xf>
    <xf numFmtId="164" fontId="13" fillId="0" borderId="18" xfId="1" applyFont="1" applyBorder="1" applyAlignment="1">
      <alignment horizontal="right" vertical="center" wrapText="1"/>
    </xf>
    <xf numFmtId="164" fontId="14" fillId="8" borderId="18" xfId="1" applyFont="1" applyFill="1" applyBorder="1" applyAlignment="1">
      <alignment horizontal="right" vertical="center" wrapText="1"/>
    </xf>
    <xf numFmtId="164" fontId="13" fillId="8" borderId="18" xfId="1" applyFont="1" applyFill="1" applyBorder="1" applyAlignment="1">
      <alignment horizontal="right" vertical="center" wrapText="1"/>
    </xf>
    <xf numFmtId="164" fontId="14" fillId="0" borderId="18" xfId="1" applyFont="1" applyBorder="1" applyAlignment="1">
      <alignment vertical="center" wrapText="1"/>
    </xf>
    <xf numFmtId="164" fontId="14" fillId="8" borderId="18" xfId="1" applyFont="1" applyFill="1" applyBorder="1" applyAlignment="1">
      <alignment vertical="center" wrapText="1"/>
    </xf>
    <xf numFmtId="164" fontId="13" fillId="8" borderId="18" xfId="1" applyFont="1" applyFill="1" applyBorder="1" applyAlignment="1">
      <alignment vertical="center" wrapText="1"/>
    </xf>
    <xf numFmtId="164" fontId="14" fillId="0" borderId="24" xfId="1" applyFont="1" applyBorder="1" applyAlignment="1">
      <alignment horizontal="right" vertical="center" wrapText="1"/>
    </xf>
    <xf numFmtId="164" fontId="13" fillId="0" borderId="24" xfId="1" applyFont="1" applyBorder="1" applyAlignment="1">
      <alignment horizontal="right" vertical="center" wrapText="1"/>
    </xf>
    <xf numFmtId="164" fontId="13" fillId="8" borderId="26" xfId="1" applyFont="1" applyFill="1" applyBorder="1" applyAlignment="1">
      <alignment horizontal="right" vertical="center" wrapText="1"/>
    </xf>
    <xf numFmtId="167" fontId="0" fillId="0" borderId="0" xfId="1" applyNumberFormat="1" applyFont="1"/>
    <xf numFmtId="2" fontId="0" fillId="0" borderId="0" xfId="0" applyNumberFormat="1"/>
    <xf numFmtId="9" fontId="0" fillId="0" borderId="0" xfId="2" applyFont="1"/>
    <xf numFmtId="171" fontId="0" fillId="0" borderId="0" xfId="0" applyNumberFormat="1"/>
    <xf numFmtId="165" fontId="0" fillId="0" borderId="0" xfId="1" applyNumberFormat="1" applyFont="1"/>
    <xf numFmtId="0" fontId="14" fillId="8" borderId="21" xfId="0" applyFont="1" applyFill="1" applyBorder="1" applyAlignment="1">
      <alignment vertical="center" wrapText="1"/>
    </xf>
    <xf numFmtId="3" fontId="14" fillId="8" borderId="22" xfId="0" applyNumberFormat="1" applyFont="1" applyFill="1" applyBorder="1" applyAlignment="1">
      <alignment horizontal="right" vertical="center" wrapText="1"/>
    </xf>
    <xf numFmtId="0" fontId="14" fillId="8" borderId="22" xfId="0" applyFont="1" applyFill="1" applyBorder="1" applyAlignment="1">
      <alignment vertical="center" wrapText="1"/>
    </xf>
    <xf numFmtId="0" fontId="0" fillId="0" borderId="19" xfId="0" applyBorder="1"/>
    <xf numFmtId="0" fontId="0" fillId="0" borderId="27" xfId="0" applyBorder="1"/>
    <xf numFmtId="0" fontId="15" fillId="0" borderId="28" xfId="5" applyBorder="1" applyAlignment="1">
      <alignment vertical="center" wrapText="1"/>
    </xf>
    <xf numFmtId="3" fontId="14" fillId="0" borderId="29" xfId="0" applyNumberFormat="1" applyFont="1" applyBorder="1" applyAlignment="1">
      <alignment horizontal="right" vertical="center" wrapText="1"/>
    </xf>
    <xf numFmtId="0" fontId="15" fillId="8" borderId="28" xfId="5" applyFill="1" applyBorder="1" applyAlignment="1">
      <alignment vertical="center" wrapText="1"/>
    </xf>
    <xf numFmtId="3" fontId="14" fillId="8" borderId="29" xfId="0" applyNumberFormat="1" applyFont="1" applyFill="1" applyBorder="1" applyAlignment="1">
      <alignment horizontal="right" vertical="center" wrapText="1"/>
    </xf>
    <xf numFmtId="0" fontId="15" fillId="8" borderId="25" xfId="5" applyFill="1" applyBorder="1" applyAlignment="1">
      <alignment vertical="center" wrapText="1"/>
    </xf>
    <xf numFmtId="0" fontId="14" fillId="8" borderId="26" xfId="0" applyFont="1" applyFill="1" applyBorder="1" applyAlignment="1">
      <alignment vertical="center" wrapText="1"/>
    </xf>
    <xf numFmtId="3" fontId="14" fillId="8" borderId="30" xfId="0" applyNumberFormat="1" applyFont="1" applyFill="1" applyBorder="1" applyAlignment="1">
      <alignment horizontal="right" vertical="center" wrapText="1"/>
    </xf>
    <xf numFmtId="0" fontId="12" fillId="0" borderId="0" xfId="0" applyFont="1"/>
    <xf numFmtId="3" fontId="12" fillId="0" borderId="0" xfId="0" applyNumberFormat="1" applyFont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165" fontId="3" fillId="0" borderId="0" xfId="1" applyNumberFormat="1" applyFont="1" applyBorder="1"/>
    <xf numFmtId="164" fontId="3" fillId="0" borderId="0" xfId="1" applyFont="1" applyBorder="1"/>
    <xf numFmtId="0" fontId="3" fillId="0" borderId="38" xfId="0" applyFont="1" applyBorder="1"/>
    <xf numFmtId="0" fontId="0" fillId="0" borderId="38" xfId="0" applyBorder="1"/>
    <xf numFmtId="0" fontId="3" fillId="0" borderId="39" xfId="0" applyFont="1" applyBorder="1" applyAlignment="1">
      <alignment horizontal="center"/>
    </xf>
    <xf numFmtId="3" fontId="14" fillId="0" borderId="0" xfId="0" applyNumberFormat="1" applyFont="1"/>
    <xf numFmtId="3" fontId="0" fillId="0" borderId="38" xfId="0" applyNumberFormat="1" applyBorder="1"/>
    <xf numFmtId="165" fontId="3" fillId="0" borderId="0" xfId="0" applyNumberFormat="1" applyFont="1"/>
    <xf numFmtId="0" fontId="0" fillId="0" borderId="40" xfId="0" applyBorder="1"/>
    <xf numFmtId="0" fontId="0" fillId="0" borderId="41" xfId="0" applyBorder="1"/>
    <xf numFmtId="0" fontId="3" fillId="0" borderId="41" xfId="0" applyFont="1" applyBorder="1" applyAlignment="1">
      <alignment horizontal="right"/>
    </xf>
    <xf numFmtId="164" fontId="3" fillId="0" borderId="41" xfId="1" applyFont="1" applyBorder="1"/>
    <xf numFmtId="0" fontId="3" fillId="0" borderId="41" xfId="0" applyFont="1" applyBorder="1"/>
    <xf numFmtId="0" fontId="0" fillId="0" borderId="42" xfId="0" applyBorder="1"/>
    <xf numFmtId="167" fontId="1" fillId="0" borderId="4" xfId="1" applyNumberFormat="1" applyFont="1" applyBorder="1" applyAlignment="1">
      <alignment horizontal="center"/>
    </xf>
    <xf numFmtId="164" fontId="1" fillId="0" borderId="0" xfId="1" applyFont="1" applyAlignment="1">
      <alignment horizontal="center"/>
    </xf>
    <xf numFmtId="167" fontId="0" fillId="4" borderId="0" xfId="1" applyNumberFormat="1" applyFont="1" applyFill="1" applyAlignment="1" applyProtection="1">
      <alignment horizontal="center"/>
      <protection locked="0"/>
    </xf>
    <xf numFmtId="164" fontId="0" fillId="4" borderId="0" xfId="1" applyFont="1" applyFill="1" applyAlignment="1" applyProtection="1">
      <alignment horizontal="center"/>
      <protection locked="0"/>
    </xf>
    <xf numFmtId="167" fontId="0" fillId="0" borderId="0" xfId="1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1" applyFont="1" applyFill="1" applyAlignment="1" applyProtection="1">
      <alignment horizontal="center"/>
      <protection locked="0"/>
    </xf>
    <xf numFmtId="166" fontId="0" fillId="0" borderId="13" xfId="2" applyNumberFormat="1" applyFont="1" applyFill="1" applyBorder="1"/>
    <xf numFmtId="44" fontId="0" fillId="0" borderId="0" xfId="0" applyNumberFormat="1" applyProtection="1">
      <protection locked="0"/>
    </xf>
    <xf numFmtId="10" fontId="0" fillId="0" borderId="4" xfId="2" applyNumberFormat="1" applyFont="1" applyFill="1" applyBorder="1" applyAlignment="1" applyProtection="1">
      <alignment horizontal="right"/>
      <protection locked="0"/>
    </xf>
    <xf numFmtId="10" fontId="0" fillId="0" borderId="0" xfId="2" applyNumberFormat="1" applyFont="1" applyFill="1" applyProtection="1">
      <protection locked="0"/>
    </xf>
    <xf numFmtId="10" fontId="0" fillId="0" borderId="0" xfId="2" applyNumberFormat="1" applyFont="1" applyFill="1" applyAlignment="1" applyProtection="1">
      <alignment horizontal="right"/>
      <protection locked="0"/>
    </xf>
    <xf numFmtId="167" fontId="0" fillId="0" borderId="1" xfId="1" applyNumberFormat="1" applyFont="1" applyFill="1" applyBorder="1" applyAlignment="1" applyProtection="1">
      <alignment horizontal="center"/>
      <protection locked="0"/>
    </xf>
    <xf numFmtId="167" fontId="0" fillId="0" borderId="15" xfId="1" applyNumberFormat="1" applyFont="1" applyFill="1" applyBorder="1" applyAlignment="1" applyProtection="1">
      <alignment horizontal="center"/>
      <protection locked="0"/>
    </xf>
    <xf numFmtId="167" fontId="0" fillId="0" borderId="5" xfId="1" applyNumberFormat="1" applyFont="1" applyFill="1" applyBorder="1" applyAlignment="1" applyProtection="1">
      <alignment horizontal="center"/>
      <protection locked="0"/>
    </xf>
    <xf numFmtId="10" fontId="0" fillId="4" borderId="0" xfId="2" applyNumberFormat="1" applyFont="1" applyFill="1" applyAlignment="1" applyProtection="1">
      <alignment horizontal="right"/>
      <protection locked="0"/>
    </xf>
    <xf numFmtId="167" fontId="0" fillId="4" borderId="1" xfId="1" applyNumberFormat="1" applyFont="1" applyFill="1" applyBorder="1" applyAlignment="1" applyProtection="1">
      <alignment horizontal="center"/>
      <protection locked="0"/>
    </xf>
    <xf numFmtId="44" fontId="0" fillId="4" borderId="0" xfId="0" applyNumberFormat="1" applyFill="1" applyProtection="1">
      <protection locked="0"/>
    </xf>
    <xf numFmtId="10" fontId="0" fillId="4" borderId="0" xfId="2" applyNumberFormat="1" applyFont="1" applyFill="1" applyProtection="1"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7" fontId="0" fillId="4" borderId="0" xfId="1" applyNumberFormat="1" applyFont="1" applyFill="1" applyAlignment="1" applyProtection="1">
      <alignment horizontal="right"/>
      <protection locked="0"/>
    </xf>
    <xf numFmtId="167" fontId="0" fillId="0" borderId="0" xfId="1" applyNumberFormat="1" applyFont="1" applyFill="1" applyAlignment="1" applyProtection="1">
      <alignment horizontal="right"/>
      <protection locked="0"/>
    </xf>
    <xf numFmtId="0" fontId="0" fillId="4" borderId="4" xfId="0" applyFill="1" applyBorder="1" applyAlignment="1">
      <alignment horizontal="right"/>
    </xf>
    <xf numFmtId="167" fontId="0" fillId="4" borderId="4" xfId="1" applyNumberFormat="1" applyFont="1" applyFill="1" applyBorder="1" applyAlignment="1" applyProtection="1">
      <alignment horizontal="right"/>
      <protection locked="0"/>
    </xf>
    <xf numFmtId="167" fontId="1" fillId="0" borderId="1" xfId="1" applyNumberFormat="1" applyFont="1" applyFill="1" applyBorder="1" applyAlignment="1" applyProtection="1">
      <protection locked="0"/>
    </xf>
    <xf numFmtId="167" fontId="0" fillId="4" borderId="1" xfId="1" applyNumberFormat="1" applyFont="1" applyFill="1" applyBorder="1" applyAlignment="1" applyProtection="1"/>
    <xf numFmtId="167" fontId="1" fillId="0" borderId="0" xfId="1" applyNumberFormat="1" applyFont="1" applyFill="1" applyBorder="1" applyAlignment="1" applyProtection="1">
      <protection locked="0"/>
    </xf>
    <xf numFmtId="167" fontId="0" fillId="4" borderId="0" xfId="1" applyNumberFormat="1" applyFont="1" applyFill="1" applyBorder="1" applyAlignment="1" applyProtection="1"/>
    <xf numFmtId="3" fontId="3" fillId="0" borderId="0" xfId="0" applyNumberFormat="1" applyFont="1" applyAlignment="1">
      <alignment horizontal="right"/>
    </xf>
    <xf numFmtId="0" fontId="16" fillId="0" borderId="0" xfId="0" applyFont="1"/>
    <xf numFmtId="0" fontId="0" fillId="3" borderId="1" xfId="0" applyFill="1" applyBorder="1"/>
    <xf numFmtId="3" fontId="3" fillId="3" borderId="4" xfId="0" applyNumberFormat="1" applyFont="1" applyFill="1" applyBorder="1" applyAlignment="1">
      <alignment horizontal="right"/>
    </xf>
    <xf numFmtId="0" fontId="17" fillId="0" borderId="0" xfId="0" applyFont="1"/>
    <xf numFmtId="166" fontId="0" fillId="0" borderId="0" xfId="2" applyNumberFormat="1" applyFont="1"/>
    <xf numFmtId="10" fontId="0" fillId="0" borderId="0" xfId="2" applyNumberFormat="1" applyFont="1"/>
    <xf numFmtId="3" fontId="0" fillId="0" borderId="8" xfId="0" applyNumberFormat="1" applyBorder="1"/>
    <xf numFmtId="0" fontId="3" fillId="0" borderId="7" xfId="0" applyFont="1" applyBorder="1"/>
    <xf numFmtId="0" fontId="3" fillId="0" borderId="7" xfId="0" applyFont="1" applyBorder="1" applyAlignment="1">
      <alignment horizontal="right"/>
    </xf>
    <xf numFmtId="164" fontId="3" fillId="0" borderId="7" xfId="1" applyFont="1" applyBorder="1"/>
    <xf numFmtId="170" fontId="9" fillId="5" borderId="1" xfId="4" applyNumberFormat="1" applyFont="1" applyFill="1" applyBorder="1" applyAlignment="1">
      <alignment horizontal="center"/>
    </xf>
    <xf numFmtId="172" fontId="0" fillId="0" borderId="0" xfId="2" applyNumberFormat="1" applyFont="1"/>
    <xf numFmtId="0" fontId="3" fillId="0" borderId="4" xfId="0" applyFont="1" applyBorder="1" applyAlignment="1">
      <alignment horizontal="center" textRotation="90" wrapText="1"/>
    </xf>
    <xf numFmtId="172" fontId="0" fillId="0" borderId="0" xfId="0" applyNumberFormat="1"/>
    <xf numFmtId="172" fontId="0" fillId="0" borderId="4" xfId="0" applyNumberFormat="1" applyBorder="1"/>
    <xf numFmtId="165" fontId="3" fillId="0" borderId="0" xfId="1" applyNumberFormat="1" applyFont="1"/>
    <xf numFmtId="10" fontId="3" fillId="0" borderId="0" xfId="0" applyNumberFormat="1" applyFont="1"/>
    <xf numFmtId="3" fontId="3" fillId="6" borderId="6" xfId="0" applyNumberFormat="1" applyFont="1" applyFill="1" applyBorder="1"/>
    <xf numFmtId="165" fontId="3" fillId="0" borderId="7" xfId="1" applyNumberFormat="1" applyFont="1" applyFill="1" applyBorder="1" applyProtection="1"/>
    <xf numFmtId="0" fontId="3" fillId="0" borderId="44" xfId="0" quotePrefix="1" applyFont="1" applyBorder="1" applyAlignment="1">
      <alignment horizontal="left"/>
    </xf>
    <xf numFmtId="167" fontId="0" fillId="4" borderId="1" xfId="1" applyNumberFormat="1" applyFont="1" applyFill="1" applyBorder="1" applyAlignment="1" applyProtection="1">
      <alignment horizontal="right"/>
      <protection locked="0"/>
    </xf>
    <xf numFmtId="167" fontId="0" fillId="0" borderId="1" xfId="1" applyNumberFormat="1" applyFont="1" applyBorder="1" applyAlignment="1" applyProtection="1">
      <alignment horizontal="right"/>
    </xf>
    <xf numFmtId="167" fontId="0" fillId="4" borderId="1" xfId="1" applyNumberFormat="1" applyFont="1" applyFill="1" applyBorder="1" applyAlignment="1" applyProtection="1">
      <alignment horizontal="right"/>
    </xf>
    <xf numFmtId="167" fontId="0" fillId="0" borderId="1" xfId="1" applyNumberFormat="1" applyFont="1" applyFill="1" applyBorder="1" applyAlignment="1" applyProtection="1">
      <alignment horizontal="right"/>
      <protection locked="0"/>
    </xf>
    <xf numFmtId="167" fontId="0" fillId="0" borderId="3" xfId="1" applyNumberFormat="1" applyFont="1" applyFill="1" applyBorder="1" applyAlignment="1" applyProtection="1">
      <alignment horizontal="right"/>
      <protection locked="0"/>
    </xf>
    <xf numFmtId="167" fontId="0" fillId="4" borderId="46" xfId="1" applyNumberFormat="1" applyFont="1" applyFill="1" applyBorder="1" applyAlignment="1" applyProtection="1">
      <alignment horizontal="right"/>
      <protection locked="0"/>
    </xf>
    <xf numFmtId="167" fontId="0" fillId="0" borderId="46" xfId="1" applyNumberFormat="1" applyFont="1" applyFill="1" applyBorder="1" applyAlignment="1" applyProtection="1">
      <alignment horizontal="right"/>
      <protection locked="0"/>
    </xf>
    <xf numFmtId="167" fontId="0" fillId="0" borderId="46" xfId="1" applyNumberFormat="1" applyFont="1" applyBorder="1" applyAlignment="1" applyProtection="1">
      <alignment horizontal="right"/>
    </xf>
    <xf numFmtId="167" fontId="0" fillId="4" borderId="46" xfId="1" applyNumberFormat="1" applyFont="1" applyFill="1" applyBorder="1" applyAlignment="1" applyProtection="1">
      <alignment horizontal="right"/>
    </xf>
    <xf numFmtId="167" fontId="0" fillId="0" borderId="15" xfId="1" applyNumberFormat="1" applyFont="1" applyBorder="1" applyAlignment="1" applyProtection="1">
      <alignment horizontal="right"/>
    </xf>
    <xf numFmtId="167" fontId="0" fillId="4" borderId="0" xfId="1" applyNumberFormat="1" applyFont="1" applyFill="1" applyBorder="1" applyAlignment="1" applyProtection="1">
      <alignment horizontal="right"/>
      <protection locked="0"/>
    </xf>
    <xf numFmtId="167" fontId="0" fillId="0" borderId="0" xfId="1" applyNumberFormat="1" applyFont="1" applyBorder="1" applyAlignment="1" applyProtection="1">
      <alignment horizontal="right"/>
    </xf>
    <xf numFmtId="167" fontId="0" fillId="4" borderId="0" xfId="1" applyNumberFormat="1" applyFont="1" applyFill="1" applyBorder="1" applyAlignment="1" applyProtection="1">
      <alignment horizontal="right"/>
    </xf>
    <xf numFmtId="0" fontId="3" fillId="0" borderId="45" xfId="0" applyFont="1" applyBorder="1" applyAlignment="1">
      <alignment horizontal="center"/>
    </xf>
    <xf numFmtId="3" fontId="0" fillId="0" borderId="15" xfId="0" applyNumberFormat="1" applyBorder="1"/>
    <xf numFmtId="167" fontId="0" fillId="4" borderId="43" xfId="1" applyNumberFormat="1" applyFont="1" applyFill="1" applyBorder="1" applyAlignment="1" applyProtection="1">
      <alignment horizontal="right"/>
      <protection locked="0"/>
    </xf>
    <xf numFmtId="0" fontId="0" fillId="0" borderId="43" xfId="0" applyBorder="1" applyAlignment="1">
      <alignment horizontal="center"/>
    </xf>
    <xf numFmtId="170" fontId="9" fillId="3" borderId="1" xfId="4" quotePrefix="1" applyNumberFormat="1" applyFont="1" applyFill="1" applyBorder="1"/>
    <xf numFmtId="164" fontId="0" fillId="2" borderId="0" xfId="0" applyNumberFormat="1" applyFill="1"/>
    <xf numFmtId="44" fontId="0" fillId="2" borderId="0" xfId="0" applyNumberFormat="1" applyFill="1"/>
    <xf numFmtId="44" fontId="0" fillId="3" borderId="0" xfId="0" applyNumberFormat="1" applyFill="1"/>
    <xf numFmtId="0" fontId="3" fillId="3" borderId="1" xfId="0" quotePrefix="1" applyFont="1" applyFill="1" applyBorder="1"/>
    <xf numFmtId="0" fontId="0" fillId="0" borderId="8" xfId="0" applyBorder="1" applyAlignment="1">
      <alignment horizontal="right"/>
    </xf>
    <xf numFmtId="3" fontId="3" fillId="3" borderId="0" xfId="0" applyNumberFormat="1" applyFont="1" applyFill="1" applyAlignment="1">
      <alignment horizontal="right"/>
    </xf>
    <xf numFmtId="3" fontId="3" fillId="0" borderId="8" xfId="0" applyNumberFormat="1" applyFont="1" applyBorder="1"/>
    <xf numFmtId="170" fontId="9" fillId="5" borderId="0" xfId="4" applyNumberFormat="1" applyFont="1" applyFill="1" applyAlignment="1">
      <alignment horizontal="center"/>
    </xf>
    <xf numFmtId="170" fontId="9" fillId="5" borderId="0" xfId="4" applyNumberFormat="1" applyFont="1" applyFill="1"/>
    <xf numFmtId="165" fontId="3" fillId="0" borderId="0" xfId="1" applyNumberFormat="1" applyFont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horizontal="center"/>
    </xf>
    <xf numFmtId="3" fontId="0" fillId="0" borderId="0" xfId="0" applyNumberFormat="1" applyBorder="1"/>
    <xf numFmtId="0" fontId="3" fillId="0" borderId="0" xfId="0" applyFont="1" applyBorder="1"/>
    <xf numFmtId="3" fontId="3" fillId="0" borderId="0" xfId="0" applyNumberFormat="1" applyFont="1" applyBorder="1"/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17" fillId="0" borderId="0" xfId="0" applyFont="1" applyProtection="1"/>
    <xf numFmtId="0" fontId="0" fillId="0" borderId="0" xfId="0" applyProtection="1"/>
    <xf numFmtId="0" fontId="3" fillId="0" borderId="4" xfId="0" applyFont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3" fontId="0" fillId="0" borderId="0" xfId="0" applyNumberFormat="1" applyProtection="1"/>
    <xf numFmtId="0" fontId="0" fillId="4" borderId="0" xfId="0" applyFill="1" applyAlignment="1" applyProtection="1">
      <alignment horizontal="right"/>
    </xf>
    <xf numFmtId="3" fontId="0" fillId="4" borderId="0" xfId="0" applyNumberFormat="1" applyFill="1" applyProtection="1"/>
    <xf numFmtId="0" fontId="0" fillId="4" borderId="0" xfId="0" applyFill="1" applyProtection="1"/>
    <xf numFmtId="0" fontId="0" fillId="4" borderId="4" xfId="0" applyFill="1" applyBorder="1" applyAlignment="1" applyProtection="1">
      <alignment horizontal="right"/>
    </xf>
    <xf numFmtId="0" fontId="0" fillId="4" borderId="4" xfId="0" applyFill="1" applyBorder="1" applyProtection="1"/>
    <xf numFmtId="3" fontId="0" fillId="4" borderId="4" xfId="0" applyNumberFormat="1" applyFill="1" applyBorder="1" applyProtection="1"/>
    <xf numFmtId="0" fontId="3" fillId="4" borderId="0" xfId="0" applyFont="1" applyFill="1" applyAlignment="1" applyProtection="1">
      <alignment horizontal="right"/>
    </xf>
    <xf numFmtId="3" fontId="3" fillId="4" borderId="0" xfId="0" applyNumberFormat="1" applyFont="1" applyFill="1" applyProtection="1"/>
    <xf numFmtId="0" fontId="3" fillId="0" borderId="6" xfId="0" applyFont="1" applyBorder="1" applyProtection="1"/>
    <xf numFmtId="164" fontId="0" fillId="0" borderId="0" xfId="1" applyFont="1" applyFill="1" applyAlignment="1" applyProtection="1">
      <alignment horizontal="center"/>
    </xf>
    <xf numFmtId="164" fontId="0" fillId="4" borderId="0" xfId="1" applyFont="1" applyFill="1" applyAlignment="1" applyProtection="1">
      <alignment horizontal="center"/>
    </xf>
    <xf numFmtId="0" fontId="0" fillId="0" borderId="4" xfId="0" applyBorder="1" applyProtection="1"/>
    <xf numFmtId="3" fontId="0" fillId="0" borderId="4" xfId="0" applyNumberFormat="1" applyBorder="1" applyProtection="1"/>
    <xf numFmtId="164" fontId="0" fillId="0" borderId="4" xfId="1" applyFont="1" applyFill="1" applyBorder="1" applyAlignment="1" applyProtection="1">
      <alignment horizontal="center"/>
    </xf>
    <xf numFmtId="0" fontId="3" fillId="4" borderId="0" xfId="0" applyFont="1" applyFill="1" applyProtection="1"/>
    <xf numFmtId="164" fontId="3" fillId="4" borderId="0" xfId="1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0" fillId="4" borderId="0" xfId="0" applyFill="1" applyAlignment="1" applyProtection="1">
      <alignment horizontal="center"/>
    </xf>
    <xf numFmtId="167" fontId="0" fillId="0" borderId="0" xfId="1" applyNumberFormat="1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4" xfId="0" applyFont="1" applyBorder="1" applyProtection="1"/>
    <xf numFmtId="0" fontId="3" fillId="0" borderId="4" xfId="0" applyFont="1" applyBorder="1" applyAlignment="1" applyProtection="1">
      <alignment horizontal="center" wrapText="1"/>
    </xf>
    <xf numFmtId="167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165" fontId="0" fillId="0" borderId="0" xfId="1" applyNumberFormat="1" applyFont="1" applyProtection="1"/>
    <xf numFmtId="165" fontId="0" fillId="0" borderId="0" xfId="0" applyNumberFormat="1" applyProtection="1"/>
    <xf numFmtId="167" fontId="0" fillId="4" borderId="0" xfId="0" applyNumberFormat="1" applyFill="1" applyProtection="1"/>
    <xf numFmtId="1" fontId="0" fillId="4" borderId="0" xfId="0" applyNumberFormat="1" applyFill="1" applyAlignment="1" applyProtection="1">
      <alignment horizontal="center"/>
    </xf>
    <xf numFmtId="165" fontId="0" fillId="4" borderId="0" xfId="1" applyNumberFormat="1" applyFont="1" applyFill="1" applyProtection="1"/>
    <xf numFmtId="165" fontId="0" fillId="4" borderId="0" xfId="0" applyNumberFormat="1" applyFill="1" applyProtection="1"/>
    <xf numFmtId="164" fontId="0" fillId="4" borderId="0" xfId="1" applyFont="1" applyFill="1" applyProtection="1"/>
    <xf numFmtId="165" fontId="0" fillId="4" borderId="4" xfId="0" applyNumberFormat="1" applyFill="1" applyBorder="1" applyProtection="1"/>
    <xf numFmtId="0" fontId="3" fillId="0" borderId="4" xfId="0" applyFont="1" applyBorder="1" applyAlignment="1" applyProtection="1">
      <alignment horizontal="right"/>
    </xf>
    <xf numFmtId="165" fontId="3" fillId="0" borderId="4" xfId="0" applyNumberFormat="1" applyFont="1" applyBorder="1" applyProtection="1"/>
    <xf numFmtId="0" fontId="3" fillId="0" borderId="0" xfId="0" applyFont="1" applyAlignment="1" applyProtection="1">
      <alignment horizontal="right"/>
    </xf>
    <xf numFmtId="2" fontId="0" fillId="0" borderId="0" xfId="0" applyNumberFormat="1" applyProtection="1"/>
    <xf numFmtId="164" fontId="0" fillId="0" borderId="0" xfId="0" applyNumberFormat="1" applyProtection="1"/>
    <xf numFmtId="10" fontId="0" fillId="0" borderId="0" xfId="2" applyNumberFormat="1" applyFont="1" applyProtection="1"/>
    <xf numFmtId="165" fontId="3" fillId="0" borderId="6" xfId="0" applyNumberFormat="1" applyFont="1" applyBorder="1" applyProtection="1"/>
    <xf numFmtId="166" fontId="0" fillId="0" borderId="0" xfId="2" applyNumberFormat="1" applyFont="1" applyProtection="1"/>
    <xf numFmtId="164" fontId="0" fillId="4" borderId="0" xfId="0" applyNumberFormat="1" applyFill="1" applyProtection="1"/>
    <xf numFmtId="166" fontId="0" fillId="4" borderId="0" xfId="2" applyNumberFormat="1" applyFont="1" applyFill="1" applyProtection="1"/>
    <xf numFmtId="3" fontId="3" fillId="0" borderId="6" xfId="0" applyNumberFormat="1" applyFont="1" applyBorder="1" applyProtection="1"/>
    <xf numFmtId="3" fontId="3" fillId="0" borderId="0" xfId="0" applyNumberFormat="1" applyFont="1" applyAlignment="1" applyProtection="1">
      <alignment horizontal="right"/>
    </xf>
    <xf numFmtId="3" fontId="0" fillId="4" borderId="0" xfId="0" applyNumberFormat="1" applyFill="1" applyAlignment="1" applyProtection="1">
      <alignment horizontal="right"/>
    </xf>
    <xf numFmtId="0" fontId="0" fillId="4" borderId="4" xfId="0" quotePrefix="1" applyFill="1" applyBorder="1" applyAlignment="1" applyProtection="1">
      <alignment horizontal="right"/>
    </xf>
    <xf numFmtId="3" fontId="3" fillId="0" borderId="0" xfId="0" applyNumberFormat="1" applyFont="1" applyProtection="1"/>
    <xf numFmtId="3" fontId="0" fillId="0" borderId="6" xfId="0" applyNumberFormat="1" applyBorder="1" applyProtection="1"/>
    <xf numFmtId="0" fontId="0" fillId="0" borderId="45" xfId="0" applyBorder="1" applyProtection="1"/>
    <xf numFmtId="3" fontId="0" fillId="4" borderId="4" xfId="0" applyNumberFormat="1" applyFill="1" applyBorder="1" applyAlignment="1" applyProtection="1">
      <alignment horizontal="right"/>
    </xf>
    <xf numFmtId="0" fontId="3" fillId="0" borderId="4" xfId="0" quotePrefix="1" applyFont="1" applyBorder="1" applyAlignment="1" applyProtection="1">
      <alignment horizontal="center"/>
    </xf>
    <xf numFmtId="173" fontId="21" fillId="0" borderId="0" xfId="1" applyNumberFormat="1" applyFont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5" fontId="3" fillId="7" borderId="7" xfId="1" applyNumberFormat="1" applyFont="1" applyFill="1" applyBorder="1" applyAlignment="1" applyProtection="1">
      <alignment horizontal="center"/>
    </xf>
    <xf numFmtId="170" fontId="11" fillId="7" borderId="0" xfId="4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70" fontId="10" fillId="0" borderId="17" xfId="4" applyNumberFormat="1" applyFont="1" applyBorder="1" applyAlignment="1">
      <alignment horizontal="center"/>
    </xf>
    <xf numFmtId="170" fontId="10" fillId="0" borderId="7" xfId="4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70" fontId="9" fillId="5" borderId="1" xfId="4" applyNumberFormat="1" applyFont="1" applyFill="1" applyBorder="1" applyAlignment="1">
      <alignment horizontal="center"/>
    </xf>
    <xf numFmtId="170" fontId="9" fillId="5" borderId="0" xfId="4" applyNumberFormat="1" applyFont="1" applyFill="1" applyAlignment="1">
      <alignment horizontal="center"/>
    </xf>
    <xf numFmtId="170" fontId="10" fillId="5" borderId="3" xfId="4" applyNumberFormat="1" applyFont="1" applyFill="1" applyBorder="1" applyAlignment="1">
      <alignment horizontal="center"/>
    </xf>
    <xf numFmtId="170" fontId="10" fillId="5" borderId="4" xfId="4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2" xfId="0" applyFont="1" applyBorder="1" applyAlignment="1">
      <alignment horizontal="left"/>
    </xf>
    <xf numFmtId="42" fontId="0" fillId="0" borderId="8" xfId="0" applyNumberFormat="1" applyBorder="1" applyAlignment="1">
      <alignment horizontal="center"/>
    </xf>
    <xf numFmtId="42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70" fontId="9" fillId="5" borderId="9" xfId="4" applyNumberFormat="1" applyFont="1" applyFill="1" applyBorder="1" applyAlignment="1">
      <alignment horizontal="center"/>
    </xf>
    <xf numFmtId="170" fontId="9" fillId="5" borderId="8" xfId="4" applyNumberFormat="1" applyFont="1" applyFill="1" applyBorder="1" applyAlignment="1">
      <alignment horizontal="center"/>
    </xf>
    <xf numFmtId="170" fontId="9" fillId="6" borderId="1" xfId="4" quotePrefix="1" applyNumberFormat="1" applyFont="1" applyFill="1" applyBorder="1" applyAlignment="1">
      <alignment horizontal="center"/>
    </xf>
    <xf numFmtId="170" fontId="9" fillId="6" borderId="0" xfId="4" applyNumberFormat="1" applyFont="1" applyFill="1" applyAlignment="1">
      <alignment horizontal="center"/>
    </xf>
    <xf numFmtId="170" fontId="9" fillId="3" borderId="1" xfId="4" applyNumberFormat="1" applyFont="1" applyFill="1" applyBorder="1" applyAlignment="1">
      <alignment horizontal="center"/>
    </xf>
    <xf numFmtId="170" fontId="9" fillId="3" borderId="0" xfId="4" applyNumberFormat="1" applyFont="1" applyFill="1" applyAlignment="1">
      <alignment horizontal="center"/>
    </xf>
    <xf numFmtId="170" fontId="9" fillId="6" borderId="1" xfId="4" applyNumberFormat="1" applyFont="1" applyFill="1" applyBorder="1" applyAlignment="1">
      <alignment horizontal="center"/>
    </xf>
    <xf numFmtId="170" fontId="10" fillId="6" borderId="11" xfId="4" applyNumberFormat="1" applyFont="1" applyFill="1" applyBorder="1" applyAlignment="1">
      <alignment horizontal="center"/>
    </xf>
    <xf numFmtId="170" fontId="10" fillId="6" borderId="6" xfId="4" applyNumberFormat="1" applyFont="1" applyFill="1" applyBorder="1" applyAlignment="1">
      <alignment horizontal="center"/>
    </xf>
    <xf numFmtId="0" fontId="2" fillId="3" borderId="3" xfId="0" quotePrefix="1" applyFont="1" applyFill="1" applyBorder="1" applyAlignment="1">
      <alignment horizontal="left"/>
    </xf>
    <xf numFmtId="0" fontId="2" fillId="3" borderId="4" xfId="0" quotePrefix="1" applyFont="1" applyFill="1" applyBorder="1" applyAlignment="1">
      <alignment horizontal="left"/>
    </xf>
    <xf numFmtId="170" fontId="9" fillId="3" borderId="3" xfId="4" applyNumberFormat="1" applyFont="1" applyFill="1" applyBorder="1" applyAlignment="1">
      <alignment horizontal="center"/>
    </xf>
    <xf numFmtId="170" fontId="9" fillId="3" borderId="4" xfId="4" applyNumberFormat="1" applyFont="1" applyFill="1" applyBorder="1" applyAlignment="1">
      <alignment horizontal="center"/>
    </xf>
    <xf numFmtId="170" fontId="10" fillId="6" borderId="1" xfId="4" applyNumberFormat="1" applyFont="1" applyFill="1" applyBorder="1" applyAlignment="1">
      <alignment horizontal="center"/>
    </xf>
    <xf numFmtId="170" fontId="10" fillId="6" borderId="0" xfId="4" applyNumberFormat="1" applyFont="1" applyFill="1" applyAlignment="1">
      <alignment horizontal="center"/>
    </xf>
    <xf numFmtId="170" fontId="9" fillId="6" borderId="3" xfId="4" applyNumberFormat="1" applyFont="1" applyFill="1" applyBorder="1" applyAlignment="1">
      <alignment horizontal="center"/>
    </xf>
    <xf numFmtId="170" fontId="9" fillId="6" borderId="4" xfId="4" applyNumberFormat="1" applyFont="1" applyFill="1" applyBorder="1" applyAlignment="1">
      <alignment horizontal="center"/>
    </xf>
    <xf numFmtId="170" fontId="10" fillId="3" borderId="1" xfId="4" applyNumberFormat="1" applyFont="1" applyFill="1" applyBorder="1" applyAlignment="1">
      <alignment horizontal="center"/>
    </xf>
    <xf numFmtId="170" fontId="10" fillId="3" borderId="0" xfId="4" applyNumberFormat="1" applyFont="1" applyFill="1" applyAlignment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3" fontId="0" fillId="0" borderId="4" xfId="0" applyNumberFormat="1" applyBorder="1" applyAlignment="1" applyProtection="1">
      <alignment horizontal="right"/>
    </xf>
    <xf numFmtId="3" fontId="3" fillId="4" borderId="0" xfId="0" applyNumberFormat="1" applyFont="1" applyFill="1" applyAlignment="1" applyProtection="1">
      <alignment horizontal="right"/>
    </xf>
    <xf numFmtId="0" fontId="3" fillId="0" borderId="6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3" fontId="0" fillId="0" borderId="0" xfId="0" applyNumberFormat="1" applyAlignment="1" applyProtection="1">
      <alignment horizontal="right"/>
    </xf>
    <xf numFmtId="3" fontId="0" fillId="4" borderId="0" xfId="0" applyNumberFormat="1" applyFill="1" applyAlignment="1" applyProtection="1">
      <alignment horizontal="right"/>
    </xf>
    <xf numFmtId="0" fontId="0" fillId="0" borderId="4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 wrapText="1"/>
    </xf>
    <xf numFmtId="173" fontId="21" fillId="0" borderId="0" xfId="1" applyNumberFormat="1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/>
    </xf>
    <xf numFmtId="0" fontId="13" fillId="8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5" fontId="15" fillId="0" borderId="11" xfId="5" applyNumberFormat="1" applyBorder="1" applyAlignment="1">
      <alignment horizontal="center"/>
    </xf>
    <xf numFmtId="165" fontId="15" fillId="0" borderId="6" xfId="5" applyNumberFormat="1" applyBorder="1" applyAlignment="1">
      <alignment horizontal="center"/>
    </xf>
    <xf numFmtId="165" fontId="15" fillId="0" borderId="12" xfId="5" applyNumberFormat="1" applyBorder="1" applyAlignment="1">
      <alignment horizontal="center"/>
    </xf>
  </cellXfs>
  <cellStyles count="6">
    <cellStyle name="Komma" xfId="1" builtinId="3"/>
    <cellStyle name="Link" xfId="5" builtinId="8"/>
    <cellStyle name="Normal" xfId="0" builtinId="0"/>
    <cellStyle name="Normal 2" xfId="4"/>
    <cellStyle name="Normal 3" xfId="3"/>
    <cellStyle name="Procent" xfId="2" builtinId="5"/>
  </cellStyles>
  <dxfs count="0"/>
  <tableStyles count="0" defaultTableStyle="TableStyleMedium2" defaultPivotStyle="PivotStyleLight16"/>
  <colors>
    <mruColors>
      <color rgb="FFFFFFCC"/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218;trokning!A25"/><Relationship Id="rId2" Type="http://schemas.openxmlformats.org/officeDocument/2006/relationships/hyperlink" Target="#&#218;trokning!A17"/><Relationship Id="rId1" Type="http://schemas.openxmlformats.org/officeDocument/2006/relationships/hyperlink" Target="#&#218;trokning!A5"/><Relationship Id="rId6" Type="http://schemas.openxmlformats.org/officeDocument/2006/relationships/hyperlink" Target="#&#218;trokning!A82"/><Relationship Id="rId5" Type="http://schemas.openxmlformats.org/officeDocument/2006/relationships/hyperlink" Target="#&#218;trokning!A49"/><Relationship Id="rId4" Type="http://schemas.openxmlformats.org/officeDocument/2006/relationships/hyperlink" Target="#&#218;trokning!A38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frams&#237;&#240;a!B5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160194</xdr:colOff>
      <xdr:row>13</xdr:row>
      <xdr:rowOff>177520</xdr:rowOff>
    </xdr:from>
    <xdr:to>
      <xdr:col>15</xdr:col>
      <xdr:colOff>418569</xdr:colOff>
      <xdr:row>15</xdr:row>
      <xdr:rowOff>60002</xdr:rowOff>
    </xdr:to>
    <xdr:sp macro="" textlink="">
      <xdr:nvSpPr>
        <xdr:cNvPr id="2" name="Afrundet rektang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74961FC-2F65-4849-8D01-640A737888B3}"/>
            </a:ext>
          </a:extLst>
        </xdr:cNvPr>
        <xdr:cNvSpPr/>
      </xdr:nvSpPr>
      <xdr:spPr>
        <a:xfrm>
          <a:off x="6321137" y="2684327"/>
          <a:ext cx="2592000" cy="2808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0" bIns="0" rtlCol="0" anchor="ctr"/>
        <a:lstStyle/>
        <a:p>
          <a:pPr algn="ctr"/>
          <a:r>
            <a:rPr lang="fo-FO" sz="1100"/>
            <a:t>Bruttu</a:t>
          </a:r>
          <a:r>
            <a:rPr lang="fo-FO" sz="1100" baseline="0"/>
            <a:t>úrslit eftir Olju, tilfeingisgj &amp; Hýru</a:t>
          </a:r>
        </a:p>
      </xdr:txBody>
    </xdr:sp>
    <xdr:clientData fPrintsWithSheet="0"/>
  </xdr:twoCellAnchor>
  <xdr:twoCellAnchor>
    <xdr:from>
      <xdr:col>7</xdr:col>
      <xdr:colOff>155647</xdr:colOff>
      <xdr:row>15</xdr:row>
      <xdr:rowOff>94491</xdr:rowOff>
    </xdr:from>
    <xdr:to>
      <xdr:col>15</xdr:col>
      <xdr:colOff>414022</xdr:colOff>
      <xdr:row>16</xdr:row>
      <xdr:rowOff>174588</xdr:rowOff>
    </xdr:to>
    <xdr:sp macro="" textlink="">
      <xdr:nvSpPr>
        <xdr:cNvPr id="3" name="Afrundet rektangel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F472BC4A-1119-B4AA-E49E-E969012408D9}"/>
            </a:ext>
          </a:extLst>
        </xdr:cNvPr>
        <xdr:cNvSpPr/>
      </xdr:nvSpPr>
      <xdr:spPr>
        <a:xfrm>
          <a:off x="6316590" y="2999616"/>
          <a:ext cx="2592000" cy="27925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o-FO" sz="1100" baseline="0"/>
            <a:t>skattur</a:t>
          </a:r>
        </a:p>
      </xdr:txBody>
    </xdr:sp>
    <xdr:clientData fPrintsWithSheet="0"/>
  </xdr:twoCellAnchor>
  <xdr:twoCellAnchor>
    <xdr:from>
      <xdr:col>7</xdr:col>
      <xdr:colOff>153266</xdr:colOff>
      <xdr:row>17</xdr:row>
      <xdr:rowOff>14720</xdr:rowOff>
    </xdr:from>
    <xdr:to>
      <xdr:col>15</xdr:col>
      <xdr:colOff>411641</xdr:colOff>
      <xdr:row>18</xdr:row>
      <xdr:rowOff>98064</xdr:rowOff>
    </xdr:to>
    <xdr:sp macro="" textlink="">
      <xdr:nvSpPr>
        <xdr:cNvPr id="4" name="Afrundet rektangel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8AEF7722-005E-F0B1-6529-7C5DF0986060}"/>
            </a:ext>
          </a:extLst>
        </xdr:cNvPr>
        <xdr:cNvSpPr/>
      </xdr:nvSpPr>
      <xdr:spPr>
        <a:xfrm>
          <a:off x="6314209" y="3318163"/>
          <a:ext cx="2592000" cy="28250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o-FO" sz="1100"/>
            <a:t>Tilfeingisgjald</a:t>
          </a:r>
          <a:endParaRPr lang="fo-FO" sz="1100" baseline="0"/>
        </a:p>
      </xdr:txBody>
    </xdr:sp>
    <xdr:clientData fPrintsWithSheet="0"/>
  </xdr:twoCellAnchor>
  <xdr:twoCellAnchor>
    <xdr:from>
      <xdr:col>7</xdr:col>
      <xdr:colOff>150885</xdr:colOff>
      <xdr:row>18</xdr:row>
      <xdr:rowOff>134106</xdr:rowOff>
    </xdr:from>
    <xdr:to>
      <xdr:col>15</xdr:col>
      <xdr:colOff>409260</xdr:colOff>
      <xdr:row>20</xdr:row>
      <xdr:rowOff>16588</xdr:rowOff>
    </xdr:to>
    <xdr:sp macro="" textlink="">
      <xdr:nvSpPr>
        <xdr:cNvPr id="5" name="Afrundet rektangel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B9254AF7-BF27-C0FF-B279-834C6BC9230D}"/>
            </a:ext>
          </a:extLst>
        </xdr:cNvPr>
        <xdr:cNvSpPr/>
      </xdr:nvSpPr>
      <xdr:spPr>
        <a:xfrm>
          <a:off x="6311828" y="3636708"/>
          <a:ext cx="2592000" cy="2808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o-FO" sz="1100"/>
            <a:t>Virðisøking</a:t>
          </a:r>
          <a:endParaRPr lang="fo-FO" sz="1100" baseline="0"/>
        </a:p>
      </xdr:txBody>
    </xdr:sp>
    <xdr:clientData fPrintsWithSheet="0"/>
  </xdr:twoCellAnchor>
  <xdr:twoCellAnchor>
    <xdr:from>
      <xdr:col>7</xdr:col>
      <xdr:colOff>154456</xdr:colOff>
      <xdr:row>20</xdr:row>
      <xdr:rowOff>54865</xdr:rowOff>
    </xdr:from>
    <xdr:to>
      <xdr:col>15</xdr:col>
      <xdr:colOff>412831</xdr:colOff>
      <xdr:row>21</xdr:row>
      <xdr:rowOff>134961</xdr:rowOff>
    </xdr:to>
    <xdr:sp macro="" textlink="">
      <xdr:nvSpPr>
        <xdr:cNvPr id="6" name="Afrundet rektangel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717D8DB2-7C6C-A8C8-A06D-B35FAD81EC35}"/>
            </a:ext>
          </a:extLst>
        </xdr:cNvPr>
        <xdr:cNvSpPr/>
      </xdr:nvSpPr>
      <xdr:spPr>
        <a:xfrm>
          <a:off x="6315399" y="3955785"/>
          <a:ext cx="2592000" cy="27925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o-FO" sz="1100"/>
            <a:t>Meirinntøka, áðrenn Botnfisk og hjáveiðu</a:t>
          </a:r>
          <a:endParaRPr lang="fo-FO" sz="1100" baseline="0"/>
        </a:p>
      </xdr:txBody>
    </xdr:sp>
    <xdr:clientData fPrintsWithSheet="0"/>
  </xdr:twoCellAnchor>
  <xdr:twoCellAnchor>
    <xdr:from>
      <xdr:col>7</xdr:col>
      <xdr:colOff>146122</xdr:colOff>
      <xdr:row>21</xdr:row>
      <xdr:rowOff>174252</xdr:rowOff>
    </xdr:from>
    <xdr:to>
      <xdr:col>15</xdr:col>
      <xdr:colOff>404497</xdr:colOff>
      <xdr:row>23</xdr:row>
      <xdr:rowOff>56734</xdr:rowOff>
    </xdr:to>
    <xdr:sp macro="" textlink="">
      <xdr:nvSpPr>
        <xdr:cNvPr id="7" name="Afrundet rektangel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8F8768C5-39C5-661D-50E3-FC19A4430AF7}"/>
            </a:ext>
          </a:extLst>
        </xdr:cNvPr>
        <xdr:cNvSpPr/>
      </xdr:nvSpPr>
      <xdr:spPr>
        <a:xfrm>
          <a:off x="6307065" y="4274332"/>
          <a:ext cx="2592000" cy="2808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o-FO" sz="1100"/>
            <a:t>útrokn. botnfisk og hjáveiðu</a:t>
          </a:r>
          <a:endParaRPr lang="fo-FO" sz="1100" baseline="0"/>
        </a:p>
      </xdr:txBody>
    </xdr:sp>
    <xdr:clientData fPrintsWithSheet="0"/>
  </xdr:twoCellAnchor>
  <xdr:twoCellAnchor>
    <xdr:from>
      <xdr:col>19</xdr:col>
      <xdr:colOff>807117</xdr:colOff>
      <xdr:row>9</xdr:row>
      <xdr:rowOff>183983</xdr:rowOff>
    </xdr:from>
    <xdr:to>
      <xdr:col>25</xdr:col>
      <xdr:colOff>220077</xdr:colOff>
      <xdr:row>26</xdr:row>
      <xdr:rowOff>153904</xdr:rowOff>
    </xdr:to>
    <xdr:sp macro="" textlink="">
      <xdr:nvSpPr>
        <xdr:cNvPr id="8" name="Rektangel 7">
          <a:extLst>
            <a:ext uri="{FF2B5EF4-FFF2-40B4-BE49-F238E27FC236}">
              <a16:creationId xmlns:a16="http://schemas.microsoft.com/office/drawing/2014/main" xmlns="" id="{B1549DCB-AC1C-8839-C1CA-BD9B73217F9A}"/>
            </a:ext>
          </a:extLst>
        </xdr:cNvPr>
        <xdr:cNvSpPr/>
      </xdr:nvSpPr>
      <xdr:spPr>
        <a:xfrm>
          <a:off x="12913392" y="2041358"/>
          <a:ext cx="3794460" cy="337034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aa-E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315515</xdr:colOff>
      <xdr:row>5</xdr:row>
      <xdr:rowOff>5954</xdr:rowOff>
    </xdr:from>
    <xdr:to>
      <xdr:col>9</xdr:col>
      <xdr:colOff>428625</xdr:colOff>
      <xdr:row>6</xdr:row>
      <xdr:rowOff>41670</xdr:rowOff>
    </xdr:to>
    <xdr:sp macro="" textlink="">
      <xdr:nvSpPr>
        <xdr:cNvPr id="8" name="Af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DA14EB4-18D2-41CF-B4CA-B0F5CB123E9F}"/>
            </a:ext>
          </a:extLst>
        </xdr:cNvPr>
        <xdr:cNvSpPr/>
      </xdr:nvSpPr>
      <xdr:spPr>
        <a:xfrm>
          <a:off x="6744890" y="1017985"/>
          <a:ext cx="797719" cy="238123"/>
        </a:xfrm>
        <a:prstGeom prst="roundRect">
          <a:avLst/>
        </a:prstGeom>
        <a:solidFill>
          <a:srgbClr val="00B050"/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o-FO" sz="1200">
              <a:solidFill>
                <a:schemeClr val="lt1"/>
              </a:solidFill>
              <a:latin typeface="Arial Black" pitchFamily="34" charset="0"/>
              <a:ea typeface="+mn-ea"/>
              <a:cs typeface="+mn-cs"/>
            </a:rPr>
            <a:t>aftur</a:t>
          </a:r>
        </a:p>
      </xdr:txBody>
    </xdr:sp>
    <xdr:clientData/>
  </xdr:twoCellAnchor>
  <xdr:twoCellAnchor>
    <xdr:from>
      <xdr:col>8</xdr:col>
      <xdr:colOff>503634</xdr:colOff>
      <xdr:row>30</xdr:row>
      <xdr:rowOff>15479</xdr:rowOff>
    </xdr:from>
    <xdr:to>
      <xdr:col>9</xdr:col>
      <xdr:colOff>616744</xdr:colOff>
      <xdr:row>31</xdr:row>
      <xdr:rowOff>51196</xdr:rowOff>
    </xdr:to>
    <xdr:sp macro="" textlink="">
      <xdr:nvSpPr>
        <xdr:cNvPr id="9" name="Af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60DD0BB-DF14-9372-4628-B26AA16BCE2E}"/>
            </a:ext>
          </a:extLst>
        </xdr:cNvPr>
        <xdr:cNvSpPr/>
      </xdr:nvSpPr>
      <xdr:spPr>
        <a:xfrm>
          <a:off x="6933009" y="5736432"/>
          <a:ext cx="797719" cy="238123"/>
        </a:xfrm>
        <a:prstGeom prst="roundRect">
          <a:avLst/>
        </a:prstGeom>
        <a:solidFill>
          <a:srgbClr val="00B050"/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o-FO" sz="1200">
              <a:solidFill>
                <a:schemeClr val="lt1"/>
              </a:solidFill>
              <a:latin typeface="Arial Black" pitchFamily="34" charset="0"/>
              <a:ea typeface="+mn-ea"/>
              <a:cs typeface="+mn-cs"/>
            </a:rPr>
            <a:t>aftur</a:t>
          </a:r>
        </a:p>
      </xdr:txBody>
    </xdr:sp>
    <xdr:clientData/>
  </xdr:twoCellAnchor>
  <xdr:twoCellAnchor>
    <xdr:from>
      <xdr:col>9</xdr:col>
      <xdr:colOff>7144</xdr:colOff>
      <xdr:row>63</xdr:row>
      <xdr:rowOff>13098</xdr:rowOff>
    </xdr:from>
    <xdr:to>
      <xdr:col>10</xdr:col>
      <xdr:colOff>120253</xdr:colOff>
      <xdr:row>64</xdr:row>
      <xdr:rowOff>48814</xdr:rowOff>
    </xdr:to>
    <xdr:sp macro="" textlink="">
      <xdr:nvSpPr>
        <xdr:cNvPr id="10" name="Af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7C073B5-7E39-3746-D960-7EC5270F7599}"/>
            </a:ext>
          </a:extLst>
        </xdr:cNvPr>
        <xdr:cNvSpPr/>
      </xdr:nvSpPr>
      <xdr:spPr>
        <a:xfrm>
          <a:off x="7121128" y="10454879"/>
          <a:ext cx="797719" cy="238123"/>
        </a:xfrm>
        <a:prstGeom prst="roundRect">
          <a:avLst/>
        </a:prstGeom>
        <a:solidFill>
          <a:srgbClr val="00B050"/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o-FO" sz="1200">
              <a:solidFill>
                <a:schemeClr val="lt1"/>
              </a:solidFill>
              <a:latin typeface="Arial Black" pitchFamily="34" charset="0"/>
              <a:ea typeface="+mn-ea"/>
              <a:cs typeface="+mn-cs"/>
            </a:rPr>
            <a:t>aftur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628650</xdr:colOff>
      <xdr:row>13</xdr:row>
      <xdr:rowOff>19050</xdr:rowOff>
    </xdr:from>
    <xdr:to>
      <xdr:col>24</xdr:col>
      <xdr:colOff>294459</xdr:colOff>
      <xdr:row>35</xdr:row>
      <xdr:rowOff>56595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xmlns="" id="{62E472FA-8CEB-D2E7-9DBE-0C474864B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92075" y="2619375"/>
          <a:ext cx="6523809" cy="4438095"/>
        </a:xfrm>
        <a:prstGeom prst="rect">
          <a:avLst/>
        </a:prstGeom>
      </xdr:spPr>
    </xdr:pic>
    <xdr:clientData/>
  </xdr:twoCellAnchor>
  <xdr:twoCellAnchor editAs="oneCell">
    <xdr:from>
      <xdr:col>13</xdr:col>
      <xdr:colOff>457200</xdr:colOff>
      <xdr:row>3</xdr:row>
      <xdr:rowOff>57150</xdr:rowOff>
    </xdr:from>
    <xdr:to>
      <xdr:col>22</xdr:col>
      <xdr:colOff>323095</xdr:colOff>
      <xdr:row>16</xdr:row>
      <xdr:rowOff>85396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xmlns="" id="{C25AE0FF-6332-55D7-F5D7-0BF21353C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68250" y="657225"/>
          <a:ext cx="6038095" cy="2628571"/>
        </a:xfrm>
        <a:prstGeom prst="rect">
          <a:avLst/>
        </a:prstGeom>
      </xdr:spPr>
    </xdr:pic>
    <xdr:clientData/>
  </xdr:twoCellAnchor>
  <xdr:twoCellAnchor editAs="oneCell">
    <xdr:from>
      <xdr:col>11</xdr:col>
      <xdr:colOff>455544</xdr:colOff>
      <xdr:row>35</xdr:row>
      <xdr:rowOff>124239</xdr:rowOff>
    </xdr:from>
    <xdr:to>
      <xdr:col>19</xdr:col>
      <xdr:colOff>129392</xdr:colOff>
      <xdr:row>42</xdr:row>
      <xdr:rowOff>171682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xmlns="" id="{66A43B12-2EE5-FE9F-E189-1C31A9B63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67870" y="7081630"/>
          <a:ext cx="5173500" cy="1438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542925</xdr:colOff>
      <xdr:row>21</xdr:row>
      <xdr:rowOff>57150</xdr:rowOff>
    </xdr:from>
    <xdr:to>
      <xdr:col>30</xdr:col>
      <xdr:colOff>275820</xdr:colOff>
      <xdr:row>25</xdr:row>
      <xdr:rowOff>190379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xmlns="" id="{D4DFDBD7-116C-427B-BABC-69E2C9416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73900" y="4400550"/>
          <a:ext cx="3228570" cy="971429"/>
        </a:xfrm>
        <a:prstGeom prst="rect">
          <a:avLst/>
        </a:prstGeom>
      </xdr:spPr>
    </xdr:pic>
    <xdr:clientData/>
  </xdr:twoCellAnchor>
  <xdr:twoCellAnchor editAs="oneCell">
    <xdr:from>
      <xdr:col>13</xdr:col>
      <xdr:colOff>504825</xdr:colOff>
      <xdr:row>40</xdr:row>
      <xdr:rowOff>161925</xdr:rowOff>
    </xdr:from>
    <xdr:to>
      <xdr:col>24</xdr:col>
      <xdr:colOff>237486</xdr:colOff>
      <xdr:row>46</xdr:row>
      <xdr:rowOff>171298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xmlns="" id="{518A4743-83C4-4DFD-8D58-899625628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68025" y="8353425"/>
          <a:ext cx="7733661" cy="1219048"/>
        </a:xfrm>
        <a:prstGeom prst="rect">
          <a:avLst/>
        </a:prstGeom>
      </xdr:spPr>
    </xdr:pic>
    <xdr:clientData/>
  </xdr:twoCellAnchor>
  <xdr:twoCellAnchor editAs="oneCell">
    <xdr:from>
      <xdr:col>24</xdr:col>
      <xdr:colOff>190500</xdr:colOff>
      <xdr:row>14</xdr:row>
      <xdr:rowOff>180975</xdr:rowOff>
    </xdr:from>
    <xdr:to>
      <xdr:col>32</xdr:col>
      <xdr:colOff>65974</xdr:colOff>
      <xdr:row>19</xdr:row>
      <xdr:rowOff>47515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xmlns="" id="{AF74BAC8-6D0D-4310-8695-FFB89EA75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554700" y="3114675"/>
          <a:ext cx="5609524" cy="876190"/>
        </a:xfrm>
        <a:prstGeom prst="rect">
          <a:avLst/>
        </a:prstGeom>
      </xdr:spPr>
    </xdr:pic>
    <xdr:clientData/>
  </xdr:twoCellAnchor>
  <xdr:twoCellAnchor editAs="oneCell">
    <xdr:from>
      <xdr:col>37</xdr:col>
      <xdr:colOff>0</xdr:colOff>
      <xdr:row>23</xdr:row>
      <xdr:rowOff>0</xdr:rowOff>
    </xdr:from>
    <xdr:to>
      <xdr:col>40</xdr:col>
      <xdr:colOff>409267</xdr:colOff>
      <xdr:row>27</xdr:row>
      <xdr:rowOff>28471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xmlns="" id="{1F065832-ECD4-47B9-876E-04C5728C5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089100" y="4886325"/>
          <a:ext cx="2466667" cy="8285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271066</xdr:colOff>
      <xdr:row>54</xdr:row>
      <xdr:rowOff>38100</xdr:rowOff>
    </xdr:from>
    <xdr:to>
      <xdr:col>30</xdr:col>
      <xdr:colOff>93057</xdr:colOff>
      <xdr:row>62</xdr:row>
      <xdr:rowOff>18707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xmlns="" id="{90DEED4B-7909-4B65-B742-F164FEF20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25491" y="10991850"/>
          <a:ext cx="7080698" cy="1580807"/>
        </a:xfrm>
        <a:prstGeom prst="rect">
          <a:avLst/>
        </a:prstGeom>
      </xdr:spPr>
    </xdr:pic>
    <xdr:clientData/>
  </xdr:twoCellAnchor>
  <xdr:twoCellAnchor editAs="oneCell">
    <xdr:from>
      <xdr:col>17</xdr:col>
      <xdr:colOff>51353</xdr:colOff>
      <xdr:row>19</xdr:row>
      <xdr:rowOff>68746</xdr:rowOff>
    </xdr:from>
    <xdr:to>
      <xdr:col>25</xdr:col>
      <xdr:colOff>527255</xdr:colOff>
      <xdr:row>54</xdr:row>
      <xdr:rowOff>40539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xmlns="" id="{B49E0C17-8BF4-1045-E090-AB4965457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26918" y="3978137"/>
          <a:ext cx="6074946" cy="6945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86</xdr:row>
      <xdr:rowOff>0</xdr:rowOff>
    </xdr:from>
    <xdr:to>
      <xdr:col>43</xdr:col>
      <xdr:colOff>323461</xdr:colOff>
      <xdr:row>100</xdr:row>
      <xdr:rowOff>53173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xmlns="" id="{2FDBF829-057A-97B2-02F0-AC386FD10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5050" y="17287875"/>
          <a:ext cx="3114286" cy="250476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57149</xdr:colOff>
      <xdr:row>97</xdr:row>
      <xdr:rowOff>0</xdr:rowOff>
    </xdr:from>
    <xdr:to>
      <xdr:col>15</xdr:col>
      <xdr:colOff>85624</xdr:colOff>
      <xdr:row>136</xdr:row>
      <xdr:rowOff>124076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xmlns="" id="{E586225F-6B7C-E645-BC2E-7AF9F6CD1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58349" y="13325475"/>
          <a:ext cx="714275" cy="7925051"/>
        </a:xfrm>
        <a:prstGeom prst="rect">
          <a:avLst/>
        </a:prstGeom>
      </xdr:spPr>
    </xdr:pic>
    <xdr:clientData/>
  </xdr:twoCellAnchor>
  <xdr:twoCellAnchor editAs="oneCell">
    <xdr:from>
      <xdr:col>16</xdr:col>
      <xdr:colOff>647700</xdr:colOff>
      <xdr:row>138</xdr:row>
      <xdr:rowOff>361950</xdr:rowOff>
    </xdr:from>
    <xdr:to>
      <xdr:col>21</xdr:col>
      <xdr:colOff>161557</xdr:colOff>
      <xdr:row>143</xdr:row>
      <xdr:rowOff>95118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xmlns="" id="{8B7FA7E6-BC4B-7C3C-A88B-48B27E4C6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34900" y="28613100"/>
          <a:ext cx="2942857" cy="105714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342900</xdr:colOff>
      <xdr:row>108</xdr:row>
      <xdr:rowOff>142875</xdr:rowOff>
    </xdr:from>
    <xdr:to>
      <xdr:col>21</xdr:col>
      <xdr:colOff>522270</xdr:colOff>
      <xdr:row>154</xdr:row>
      <xdr:rowOff>96949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xmlns="" id="{51DC65FF-C5F4-4FCF-AC91-B809E400C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1500" y="21745575"/>
          <a:ext cx="2922570" cy="91552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11</xdr:row>
      <xdr:rowOff>85725</xdr:rowOff>
    </xdr:from>
    <xdr:to>
      <xdr:col>10</xdr:col>
      <xdr:colOff>477396</xdr:colOff>
      <xdr:row>23</xdr:row>
      <xdr:rowOff>155963</xdr:rowOff>
    </xdr:to>
    <xdr:pic>
      <xdr:nvPicPr>
        <xdr:cNvPr id="3" name="Billede 2" descr="Et billede, der indeholder tekst, person, skærmbillede, dokument&#10;&#10;Automatisk genereret beskrivelse">
          <a:extLst>
            <a:ext uri="{FF2B5EF4-FFF2-40B4-BE49-F238E27FC236}">
              <a16:creationId xmlns:a16="http://schemas.microsoft.com/office/drawing/2014/main" xmlns="" id="{15682B3F-A206-4E54-9672-5198AB333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3050" y="2286000"/>
          <a:ext cx="6106671" cy="247053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Árni M. Dam" id="{05A04B77-1275-4E2B-9A4D-9697AD78A916}" userId="fed4412c3f62cfd1" providerId="Windows Live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0" dT="2023-05-03T20:56:31.11" personId="{05A04B77-1275-4E2B-9A4D-9697AD78A916}" id="{5F80F011-0D9B-421C-B554-CFB3E2AE3432}">
    <text>Heilur fiskur</text>
  </threadedComment>
  <threadedComment ref="B11" dT="2023-05-03T20:55:37.55" personId="{05A04B77-1275-4E2B-9A4D-9697AD78A916}" id="{EE4EABA8-AC7A-431A-8B70-4D21A2E0041F}">
    <text>Heilur fiskur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hagtol.vorn.fo/fvePortal.exe/ShowLandingRepShipFishSizes?SHIPGROUPID=9&amp;FISHGROUPID=28&amp;PARAMTYPE=1&amp;BEGIN=01-01-2021&amp;END=31-12-2021&amp;SUMCOLUMN=AMOUNT&amp;REGIONS=1,2,3,4,5,6,7,9,10,8" TargetMode="External"/><Relationship Id="rId3" Type="http://schemas.openxmlformats.org/officeDocument/2006/relationships/hyperlink" Target="https://hagtol.vorn.fo/fvePortal.exe/ShowLandingRepShipFishSizes?SHIPGROUPID=9&amp;FISHGROUPID=48&amp;PARAMTYPE=1&amp;BEGIN=01-01-2021&amp;END=31-12-2021&amp;SUMCOLUMN=AMOUNT&amp;REGIONS=1,2,3,4,5,6,7,9,10,8" TargetMode="External"/><Relationship Id="rId7" Type="http://schemas.openxmlformats.org/officeDocument/2006/relationships/hyperlink" Target="https://hagtol.vorn.fo/fvePortal.exe/ShowLandingRepShipFishSizes?SHIPGROUPID=9&amp;FISHGROUPID=48&amp;PARAMTYPE=1&amp;BEGIN=01-01-2021&amp;END=31-12-2021&amp;SUMCOLUMN=AMOUNT&amp;REGIONS=1,2,3,4,5,6,7,9,10,8" TargetMode="External"/><Relationship Id="rId2" Type="http://schemas.openxmlformats.org/officeDocument/2006/relationships/hyperlink" Target="https://hagtol.vorn.fo/fvePortal.exe/ShowLandingRepShipFishSizes?SHIPGROUPID=9&amp;FISHGROUPID=34&amp;PARAMTYPE=1&amp;BEGIN=01-01-2021&amp;END=31-12-2021&amp;SUMCOLUMN=AMOUNT&amp;REGIONS=1,2,3,4,5,6,7,9,10,8" TargetMode="External"/><Relationship Id="rId1" Type="http://schemas.openxmlformats.org/officeDocument/2006/relationships/hyperlink" Target="https://hagtol.vorn.fo/fvePortal.exe/ShowLandingRepShipFishSizes?SHIPGROUPID=9&amp;FISHGROUPID=46&amp;PARAMTYPE=1&amp;BEGIN=01-01-2021&amp;END=31-12-2021&amp;SUMCOLUMN=AMOUNT&amp;REGIONS=1,2,3,4,5,6,7,9,10,8" TargetMode="External"/><Relationship Id="rId6" Type="http://schemas.openxmlformats.org/officeDocument/2006/relationships/hyperlink" Target="https://hagtol.vorn.fo/fvePortal.exe/ShowLandingRepShipFishSizes?SHIPGROUPID=9&amp;FISHGROUPID=34&amp;PARAMTYPE=1&amp;BEGIN=01-01-2021&amp;END=31-12-2021&amp;SUMCOLUMN=AMOUNT&amp;REGIONS=1,2,3,4,5,6,7,9,10,8" TargetMode="External"/><Relationship Id="rId5" Type="http://schemas.openxmlformats.org/officeDocument/2006/relationships/hyperlink" Target="https://hagtol.vorn.fo/fvePortal.exe/ShowLandingRepShipFishSizes?SHIPGROUPID=9&amp;FISHGROUPID=46&amp;PARAMTYPE=1&amp;BEGIN=01-01-2021&amp;END=31-12-2021&amp;SUMCOLUMN=AMOUNT&amp;REGIONS=1,2,3,4,5,6,7,9,10,8" TargetMode="External"/><Relationship Id="rId4" Type="http://schemas.openxmlformats.org/officeDocument/2006/relationships/hyperlink" Target="https://hagtol.vorn.fo/fvePortal.exe/ShowLandingRepShipFishSizes?SHIPGROUPID=9&amp;FISHGROUPID=28&amp;PARAMTYPE=1&amp;BEGIN=01-01-2021&amp;END=31-12-2021&amp;SUMCOLUMN=AMOUNT&amp;REGIONS=1,2,3,4,5,6,7,9,10,8" TargetMode="External"/><Relationship Id="rId9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hav.fo/PDF/Ritgerdir/2005/Hjaveida_flotitroli_2005.pdf" TargetMode="External"/><Relationship Id="rId1" Type="http://schemas.openxmlformats.org/officeDocument/2006/relationships/hyperlink" Target="https://www.hav.fo/PDF/Ritgerdir/2004/Hjaveida_flotitroli.pdf" TargetMode="External"/><Relationship Id="rId4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V62"/>
  <sheetViews>
    <sheetView tabSelected="1" topLeftCell="A33" zoomScale="130" zoomScaleNormal="130" workbookViewId="0">
      <selection activeCell="C11" sqref="C11"/>
    </sheetView>
  </sheetViews>
  <sheetFormatPr defaultRowHeight="15.5"/>
  <cols>
    <col min="1" max="1" width="15" customWidth="1"/>
    <col min="2" max="2" width="13" customWidth="1"/>
    <col min="3" max="3" width="14.08203125" customWidth="1"/>
    <col min="4" max="4" width="13" customWidth="1"/>
    <col min="5" max="5" width="13.25" customWidth="1"/>
    <col min="6" max="6" width="12" customWidth="1"/>
    <col min="7" max="7" width="11.25" customWidth="1"/>
    <col min="8" max="8" width="11.5" customWidth="1"/>
    <col min="9" max="9" width="5.75" bestFit="1" customWidth="1"/>
    <col min="10" max="10" width="7.08203125" customWidth="1"/>
    <col min="11" max="11" width="10.33203125" hidden="1" customWidth="1"/>
    <col min="12" max="12" width="11.33203125" hidden="1" customWidth="1"/>
    <col min="13" max="14" width="9.33203125" hidden="1" customWidth="1"/>
    <col min="19" max="19" width="11.83203125" customWidth="1"/>
    <col min="20" max="20" width="12.5" customWidth="1"/>
  </cols>
  <sheetData>
    <row r="1" spans="1:17" ht="21" customHeight="1" thickBot="1">
      <c r="A1" s="348" t="s">
        <v>79</v>
      </c>
      <c r="B1" s="348"/>
      <c r="C1" s="348"/>
      <c r="D1" s="348"/>
      <c r="E1" s="348"/>
      <c r="F1" s="348"/>
      <c r="G1" s="347">
        <f>+Útrokning!G83</f>
        <v>399446591.98183924</v>
      </c>
      <c r="H1" s="347"/>
      <c r="I1" t="s">
        <v>20</v>
      </c>
    </row>
    <row r="2" spans="1:17" ht="9" customHeight="1" thickTop="1"/>
    <row r="3" spans="1:17" ht="21.75" customHeight="1">
      <c r="A3" s="11"/>
      <c r="D3" s="215" t="s">
        <v>47</v>
      </c>
      <c r="E3" s="216">
        <v>2021</v>
      </c>
      <c r="H3" s="5" t="s">
        <v>50</v>
      </c>
    </row>
    <row r="4" spans="1:17">
      <c r="B4" s="349" t="s">
        <v>203</v>
      </c>
      <c r="C4" s="349"/>
      <c r="D4" s="5" t="s">
        <v>30</v>
      </c>
      <c r="E4" s="5" t="s">
        <v>35</v>
      </c>
      <c r="F4" s="5" t="s">
        <v>200</v>
      </c>
      <c r="G4" s="5" t="s">
        <v>199</v>
      </c>
      <c r="H4" s="5" t="s">
        <v>77</v>
      </c>
      <c r="I4" s="5" t="s">
        <v>65</v>
      </c>
      <c r="J4" s="5" t="s">
        <v>67</v>
      </c>
      <c r="K4" s="5" t="s">
        <v>34</v>
      </c>
      <c r="L4" s="5" t="s">
        <v>34</v>
      </c>
    </row>
    <row r="5" spans="1:17">
      <c r="B5" s="6" t="s">
        <v>31</v>
      </c>
      <c r="C5" s="6" t="s">
        <v>32</v>
      </c>
      <c r="D5" s="6" t="s">
        <v>33</v>
      </c>
      <c r="E5" s="6" t="s">
        <v>36</v>
      </c>
      <c r="F5" s="6" t="s">
        <v>201</v>
      </c>
      <c r="G5" s="6" t="s">
        <v>198</v>
      </c>
      <c r="H5" s="5" t="s">
        <v>78</v>
      </c>
      <c r="I5" s="5" t="s">
        <v>66</v>
      </c>
      <c r="J5" s="5" t="s">
        <v>19</v>
      </c>
      <c r="K5" s="5" t="s">
        <v>33</v>
      </c>
      <c r="L5" s="5" t="s">
        <v>68</v>
      </c>
      <c r="M5" s="5" t="s">
        <v>19</v>
      </c>
    </row>
    <row r="6" spans="1:17">
      <c r="A6" s="2" t="s">
        <v>1</v>
      </c>
      <c r="B6" s="200">
        <v>1200000</v>
      </c>
      <c r="C6" s="200">
        <v>300000</v>
      </c>
      <c r="D6" s="201">
        <v>2</v>
      </c>
      <c r="E6" s="202">
        <v>7</v>
      </c>
      <c r="F6" s="200">
        <v>10000</v>
      </c>
      <c r="G6" s="200">
        <v>20000</v>
      </c>
      <c r="H6" s="203">
        <f>VLOOKUP(E6,tilfgjald,2,1)</f>
        <v>0.19</v>
      </c>
      <c r="I6" s="32">
        <f>(B36+D36)/C6</f>
        <v>70.333333333333329</v>
      </c>
      <c r="J6" s="33">
        <f>+B36/B6</f>
        <v>12.083333333333334</v>
      </c>
      <c r="K6" s="12">
        <f>+J6*F6*D6</f>
        <v>241666.66666666669</v>
      </c>
      <c r="L6" s="12">
        <f>+I6*G6</f>
        <v>1406666.6666666665</v>
      </c>
      <c r="M6" s="12">
        <f>+K6+L6</f>
        <v>1648333.3333333333</v>
      </c>
    </row>
    <row r="7" spans="1:17">
      <c r="A7" s="24" t="s">
        <v>12</v>
      </c>
      <c r="B7" s="198">
        <v>1500000</v>
      </c>
      <c r="C7" s="198">
        <v>300000</v>
      </c>
      <c r="D7" s="34">
        <v>3</v>
      </c>
      <c r="E7" s="199">
        <v>5.29</v>
      </c>
      <c r="F7" s="198">
        <v>10000</v>
      </c>
      <c r="G7" s="198">
        <v>20000</v>
      </c>
      <c r="H7" s="31">
        <f>VLOOKUP(E7,tilfgjald,3,1)</f>
        <v>0.185</v>
      </c>
      <c r="I7" s="38">
        <f>+B37/C7</f>
        <v>33.333333333333336</v>
      </c>
      <c r="J7" s="39">
        <f>+B37/B7</f>
        <v>6.666666666666667</v>
      </c>
      <c r="K7" s="12">
        <f>+J7*F7*D7</f>
        <v>200000</v>
      </c>
      <c r="L7" s="12">
        <f>+I7*G7</f>
        <v>666666.66666666674</v>
      </c>
      <c r="M7" s="12">
        <f>+K7+L7</f>
        <v>866666.66666666674</v>
      </c>
    </row>
    <row r="8" spans="1:17">
      <c r="A8" s="2" t="s">
        <v>27</v>
      </c>
      <c r="B8" s="200">
        <v>2300000</v>
      </c>
      <c r="C8" s="200">
        <v>500000</v>
      </c>
      <c r="D8" s="201">
        <v>4</v>
      </c>
      <c r="E8" s="202">
        <v>2.02</v>
      </c>
      <c r="F8" s="200">
        <v>10000</v>
      </c>
      <c r="G8" s="200">
        <v>20000</v>
      </c>
      <c r="H8" s="203">
        <f>VLOOKUP(E8,tilfgjald,4,1)</f>
        <v>0.15</v>
      </c>
      <c r="I8" s="32">
        <f>+B38/C8</f>
        <v>164</v>
      </c>
      <c r="J8" s="33">
        <f>+B38/B8</f>
        <v>35.652173913043477</v>
      </c>
      <c r="K8" s="12">
        <f>+J8*F8*D8</f>
        <v>1426086.956521739</v>
      </c>
      <c r="L8" s="12">
        <f>+I8*G8</f>
        <v>3280000</v>
      </c>
      <c r="M8" s="12">
        <f>+K8+L8</f>
        <v>4706086.9565217393</v>
      </c>
      <c r="N8" s="26">
        <f>SUM(M6:M8)</f>
        <v>7221086.9565217393</v>
      </c>
    </row>
    <row r="9" spans="1:17">
      <c r="A9" s="2" t="s">
        <v>204</v>
      </c>
      <c r="B9" s="200"/>
      <c r="C9" s="200"/>
      <c r="D9" s="201"/>
      <c r="E9" s="202"/>
      <c r="F9" s="200"/>
      <c r="G9" s="200"/>
      <c r="H9" s="203"/>
      <c r="I9" s="32"/>
      <c r="J9" s="33"/>
      <c r="K9" s="12"/>
      <c r="L9" s="12"/>
      <c r="M9" s="12"/>
      <c r="N9" s="26"/>
    </row>
    <row r="10" spans="1:17">
      <c r="A10" s="24" t="s">
        <v>112</v>
      </c>
      <c r="B10" s="198">
        <v>1200000</v>
      </c>
      <c r="C10" s="198">
        <f>394.736842105263*100</f>
        <v>39473.68421052632</v>
      </c>
      <c r="D10" s="34">
        <v>8</v>
      </c>
      <c r="E10" s="40">
        <f>F44/H39</f>
        <v>17.920869492556381</v>
      </c>
      <c r="F10" s="198">
        <v>11000</v>
      </c>
      <c r="G10" s="198">
        <v>16000</v>
      </c>
      <c r="H10" s="31">
        <f>VLOOKUP(E10,tilfgjald,5,1)</f>
        <v>4.7500000000000001E-2</v>
      </c>
      <c r="I10" s="38">
        <f>+G39/C10</f>
        <v>180.65649733333331</v>
      </c>
      <c r="J10" s="39">
        <f>+G39/B10</f>
        <v>5.9426479385964912</v>
      </c>
      <c r="K10" s="12">
        <f>+J10*F10*D10</f>
        <v>522953.01859649125</v>
      </c>
      <c r="L10" s="12">
        <f>+I10*G10</f>
        <v>2890503.9573333329</v>
      </c>
      <c r="M10" s="12">
        <f>+K10+L10</f>
        <v>3413456.9759298242</v>
      </c>
      <c r="P10">
        <f>+E10*H10</f>
        <v>0.85124130089642813</v>
      </c>
      <c r="Q10">
        <f>+H44*P10</f>
        <v>21459245.43</v>
      </c>
    </row>
    <row r="11" spans="1:17">
      <c r="A11" s="2" t="s">
        <v>205</v>
      </c>
      <c r="B11" s="200">
        <v>2155000</v>
      </c>
      <c r="C11" s="200">
        <f>+C10</f>
        <v>39473.68421052632</v>
      </c>
      <c r="D11" s="201">
        <f>+D10</f>
        <v>8</v>
      </c>
      <c r="E11" s="202"/>
      <c r="F11" s="200">
        <f>+F10</f>
        <v>11000</v>
      </c>
      <c r="G11" s="200">
        <f>+G10</f>
        <v>16000</v>
      </c>
      <c r="H11" s="203"/>
      <c r="I11" s="32">
        <f>+G40/C11</f>
        <v>457.98053424338622</v>
      </c>
      <c r="J11" s="33">
        <f>+G40/B11</f>
        <v>8.3889461639403997</v>
      </c>
      <c r="K11" s="12">
        <f>+J11*F11*D11</f>
        <v>738227.26242675516</v>
      </c>
      <c r="L11" s="12">
        <f>+I11*G11</f>
        <v>7327688.5478941798</v>
      </c>
      <c r="M11" s="12">
        <f>+K11+L11</f>
        <v>8065915.8103209352</v>
      </c>
      <c r="N11" s="26">
        <f>+M10+M11</f>
        <v>11479372.786250759</v>
      </c>
    </row>
    <row r="12" spans="1:17">
      <c r="A12" s="2" t="s">
        <v>42</v>
      </c>
      <c r="B12" s="12"/>
      <c r="C12" s="12"/>
      <c r="E12" s="202">
        <v>7</v>
      </c>
    </row>
    <row r="13" spans="1:17">
      <c r="A13" s="24" t="s">
        <v>45</v>
      </c>
      <c r="B13" s="16"/>
      <c r="C13" s="16"/>
      <c r="D13" s="15"/>
      <c r="E13" s="199">
        <v>14</v>
      </c>
    </row>
    <row r="14" spans="1:17">
      <c r="A14" s="2" t="s">
        <v>44</v>
      </c>
      <c r="B14" s="12"/>
      <c r="C14" s="12"/>
      <c r="E14" s="202">
        <v>10</v>
      </c>
      <c r="I14" s="4" t="s">
        <v>84</v>
      </c>
    </row>
    <row r="15" spans="1:17">
      <c r="A15" s="24" t="s">
        <v>56</v>
      </c>
      <c r="B15" s="16"/>
      <c r="C15" s="15"/>
      <c r="D15" s="23"/>
      <c r="E15" s="199">
        <v>10</v>
      </c>
    </row>
    <row r="16" spans="1:17">
      <c r="A16" s="2"/>
      <c r="E16" s="18"/>
    </row>
    <row r="17" spans="1:20">
      <c r="A17" s="2"/>
      <c r="C17" s="5" t="s">
        <v>53</v>
      </c>
    </row>
    <row r="18" spans="1:20">
      <c r="A18" s="2"/>
      <c r="B18" s="6" t="s">
        <v>51</v>
      </c>
      <c r="C18" s="6" t="s">
        <v>197</v>
      </c>
      <c r="F18" s="7" t="s">
        <v>69</v>
      </c>
      <c r="G18" s="7"/>
      <c r="L18" s="26">
        <f>+F39+F40</f>
        <v>451773588</v>
      </c>
    </row>
    <row r="19" spans="1:20">
      <c r="A19" s="2" t="s">
        <v>38</v>
      </c>
      <c r="B19" s="206">
        <v>0.44</v>
      </c>
      <c r="C19" s="206">
        <v>3.2750000000000001E-2</v>
      </c>
      <c r="D19" s="2"/>
      <c r="E19">
        <v>12.25</v>
      </c>
      <c r="F19" s="2" t="s">
        <v>1</v>
      </c>
      <c r="G19" s="202">
        <f>+virðisøking!X44</f>
        <v>2.39</v>
      </c>
      <c r="L19" s="26">
        <f>+H39+G40</f>
        <v>43287535.492898911</v>
      </c>
    </row>
    <row r="20" spans="1:20">
      <c r="A20" s="24" t="s">
        <v>52</v>
      </c>
      <c r="B20" s="214">
        <v>0.25724999999999998</v>
      </c>
      <c r="C20" s="214">
        <v>3.2750000000000001E-2</v>
      </c>
      <c r="D20" s="24"/>
      <c r="E20">
        <v>8.1999999999999993</v>
      </c>
      <c r="F20" s="24" t="s">
        <v>12</v>
      </c>
      <c r="G20" s="199">
        <f>+virðisøking!X43</f>
        <v>2.39</v>
      </c>
      <c r="L20" s="30">
        <f>+L18/L19</f>
        <v>10.436574474749458</v>
      </c>
    </row>
    <row r="21" spans="1:20">
      <c r="E21">
        <v>4.05</v>
      </c>
      <c r="F21" s="2" t="s">
        <v>27</v>
      </c>
      <c r="G21" s="202">
        <f>+virðisøking!AI83</f>
        <v>3.9450678016243188</v>
      </c>
      <c r="L21" s="30"/>
    </row>
    <row r="22" spans="1:20">
      <c r="A22" s="7" t="s">
        <v>96</v>
      </c>
      <c r="B22" s="1"/>
      <c r="C22" s="1"/>
      <c r="D22" s="1"/>
      <c r="F22" s="24" t="s">
        <v>38</v>
      </c>
      <c r="G22" s="199">
        <v>1.25</v>
      </c>
      <c r="L22" s="30"/>
    </row>
    <row r="23" spans="1:20">
      <c r="A23" s="2" t="s">
        <v>54</v>
      </c>
      <c r="B23" s="204">
        <v>5</v>
      </c>
      <c r="D23" s="2"/>
      <c r="F23" s="2" t="s">
        <v>90</v>
      </c>
      <c r="G23" s="202">
        <v>6</v>
      </c>
    </row>
    <row r="24" spans="1:20">
      <c r="A24" s="24" t="s">
        <v>95</v>
      </c>
      <c r="B24" s="213">
        <v>0.8</v>
      </c>
      <c r="C24" s="15" t="s">
        <v>210</v>
      </c>
      <c r="D24" s="24"/>
    </row>
    <row r="25" spans="1:20">
      <c r="A25" s="10" t="s">
        <v>55</v>
      </c>
      <c r="B25" s="205">
        <v>0.04</v>
      </c>
      <c r="C25" s="1" t="s">
        <v>81</v>
      </c>
      <c r="D25" s="10"/>
    </row>
    <row r="26" spans="1:20">
      <c r="A26" s="2"/>
      <c r="B26" s="108"/>
      <c r="D26" s="2"/>
    </row>
    <row r="27" spans="1:20">
      <c r="A27" s="7" t="s">
        <v>105</v>
      </c>
      <c r="B27" s="1"/>
      <c r="C27" s="1"/>
      <c r="D27" s="1"/>
    </row>
    <row r="28" spans="1:20">
      <c r="A28" s="24" t="s">
        <v>88</v>
      </c>
      <c r="B28" s="211">
        <v>0.39</v>
      </c>
      <c r="C28" s="15" t="s">
        <v>89</v>
      </c>
      <c r="D28" s="24"/>
    </row>
    <row r="29" spans="1:20">
      <c r="A29" s="2" t="s">
        <v>91</v>
      </c>
      <c r="B29" s="207">
        <v>0.42</v>
      </c>
      <c r="C29" t="s">
        <v>93</v>
      </c>
      <c r="D29" s="2"/>
      <c r="F29" s="2"/>
    </row>
    <row r="30" spans="1:20">
      <c r="A30" s="24" t="s">
        <v>92</v>
      </c>
      <c r="B30" s="211">
        <v>0.35</v>
      </c>
      <c r="C30" s="15" t="s">
        <v>93</v>
      </c>
      <c r="D30" s="24"/>
      <c r="F30" s="2"/>
    </row>
    <row r="31" spans="1:20">
      <c r="A31" s="2" t="s">
        <v>106</v>
      </c>
      <c r="B31" s="207">
        <v>0.1</v>
      </c>
      <c r="C31" t="s">
        <v>93</v>
      </c>
      <c r="T31" s="102" t="s">
        <v>207</v>
      </c>
    </row>
    <row r="32" spans="1:20">
      <c r="A32" s="2"/>
      <c r="B32" s="36"/>
      <c r="F32" s="35"/>
      <c r="R32" s="2"/>
      <c r="S32" s="217" t="s">
        <v>206</v>
      </c>
      <c r="T32" s="217" t="s">
        <v>196</v>
      </c>
    </row>
    <row r="33" spans="1:22">
      <c r="A33" s="2"/>
      <c r="C33" s="1"/>
      <c r="F33" s="344" t="s">
        <v>62</v>
      </c>
      <c r="G33" s="345"/>
      <c r="H33" s="346"/>
      <c r="R33" s="2"/>
      <c r="S33" s="218" t="s">
        <v>40</v>
      </c>
      <c r="T33" s="218" t="s">
        <v>40</v>
      </c>
    </row>
    <row r="34" spans="1:22">
      <c r="A34" s="2"/>
      <c r="B34" s="20" t="s">
        <v>196</v>
      </c>
      <c r="C34" s="21" t="s">
        <v>57</v>
      </c>
      <c r="D34" s="20" t="s">
        <v>46</v>
      </c>
      <c r="E34" s="21" t="s">
        <v>57</v>
      </c>
      <c r="F34" s="29" t="s">
        <v>63</v>
      </c>
      <c r="G34" s="5" t="s">
        <v>48</v>
      </c>
      <c r="H34" s="5" t="s">
        <v>108</v>
      </c>
      <c r="R34" s="24" t="s">
        <v>1</v>
      </c>
      <c r="S34" s="219">
        <v>14500000</v>
      </c>
      <c r="T34" s="219">
        <v>14177002</v>
      </c>
    </row>
    <row r="35" spans="1:22">
      <c r="A35" s="2" t="s">
        <v>39</v>
      </c>
      <c r="B35" s="22" t="s">
        <v>40</v>
      </c>
      <c r="C35" s="7" t="s">
        <v>58</v>
      </c>
      <c r="D35" s="17" t="s">
        <v>41</v>
      </c>
      <c r="E35" s="7" t="s">
        <v>58</v>
      </c>
      <c r="F35" s="22" t="s">
        <v>64</v>
      </c>
      <c r="G35" s="6" t="s">
        <v>49</v>
      </c>
      <c r="H35" s="6" t="s">
        <v>109</v>
      </c>
      <c r="R35" s="2" t="s">
        <v>12</v>
      </c>
      <c r="S35" s="220">
        <v>10000000</v>
      </c>
      <c r="T35" s="220">
        <v>9829011</v>
      </c>
    </row>
    <row r="36" spans="1:22">
      <c r="A36" s="24" t="s">
        <v>1</v>
      </c>
      <c r="B36" s="198">
        <v>14500000</v>
      </c>
      <c r="C36" s="198">
        <f>+B36*E6</f>
        <v>101500000</v>
      </c>
      <c r="D36" s="212">
        <v>6600000</v>
      </c>
      <c r="E36" s="198">
        <f>+D36*E6</f>
        <v>46200000</v>
      </c>
      <c r="F36" s="112"/>
      <c r="G36" s="15"/>
      <c r="H36" s="15"/>
      <c r="R36" s="221" t="s">
        <v>27</v>
      </c>
      <c r="S36" s="222">
        <v>82000000</v>
      </c>
      <c r="T36" s="222">
        <v>95582600</v>
      </c>
    </row>
    <row r="37" spans="1:22">
      <c r="A37" s="2" t="s">
        <v>12</v>
      </c>
      <c r="B37" s="200">
        <v>10000000</v>
      </c>
      <c r="C37" s="200">
        <f>+B37*E7</f>
        <v>52900000</v>
      </c>
      <c r="D37" s="113"/>
      <c r="E37" s="109"/>
      <c r="F37" s="113"/>
      <c r="O37" s="117">
        <v>57.88</v>
      </c>
      <c r="R37" s="2" t="s">
        <v>19</v>
      </c>
      <c r="S37" s="26">
        <f>SUM(S34:S36)</f>
        <v>106500000</v>
      </c>
      <c r="T37" s="26">
        <f>SUM(T34:T36)</f>
        <v>119588613</v>
      </c>
    </row>
    <row r="38" spans="1:22">
      <c r="A38" s="24" t="s">
        <v>27</v>
      </c>
      <c r="B38" s="198">
        <v>82000000</v>
      </c>
      <c r="C38" s="198">
        <f>+B38*E8</f>
        <v>165640000</v>
      </c>
      <c r="D38" s="112"/>
      <c r="E38" s="110"/>
      <c r="F38" s="112"/>
      <c r="G38" s="15"/>
      <c r="H38" s="15"/>
      <c r="O38" s="117"/>
    </row>
    <row r="39" spans="1:22">
      <c r="A39" s="2" t="s">
        <v>112</v>
      </c>
      <c r="B39" s="109"/>
      <c r="C39" s="109"/>
      <c r="D39" s="113"/>
      <c r="E39" s="109"/>
      <c r="F39" s="223">
        <v>413062083</v>
      </c>
      <c r="G39" s="225">
        <f>+'2021'!M37</f>
        <v>7131177.5263157897</v>
      </c>
      <c r="H39" s="225">
        <f>+G44</f>
        <v>25209356.509607352</v>
      </c>
      <c r="O39" s="117">
        <f>+F39/G39</f>
        <v>57.923404862058177</v>
      </c>
    </row>
    <row r="40" spans="1:22">
      <c r="A40" s="24" t="s">
        <v>115</v>
      </c>
      <c r="B40" s="110"/>
      <c r="C40" s="110"/>
      <c r="D40" s="112"/>
      <c r="E40" s="110"/>
      <c r="F40" s="224">
        <v>38711505</v>
      </c>
      <c r="G40" s="226">
        <f>+'2021'!M38</f>
        <v>18078178.983291563</v>
      </c>
      <c r="H40" s="15"/>
      <c r="O40">
        <f>+O37-O39</f>
        <v>-4.3404862058174842E-2</v>
      </c>
    </row>
    <row r="41" spans="1:22">
      <c r="A41" s="2" t="s">
        <v>42</v>
      </c>
      <c r="B41" s="109"/>
      <c r="C41" s="109"/>
      <c r="D41" s="208">
        <v>2000000</v>
      </c>
      <c r="E41" s="200">
        <f>+D41*E12</f>
        <v>14000000</v>
      </c>
      <c r="F41" s="113"/>
    </row>
    <row r="42" spans="1:22">
      <c r="A42" s="24" t="s">
        <v>45</v>
      </c>
      <c r="B42" s="110"/>
      <c r="C42" s="110"/>
      <c r="D42" s="212">
        <v>2500000</v>
      </c>
      <c r="E42" s="198">
        <f>+D42*E13</f>
        <v>35000000</v>
      </c>
      <c r="F42" s="112"/>
      <c r="G42" s="15"/>
      <c r="H42" s="15"/>
      <c r="K42" s="26"/>
      <c r="V42">
        <v>451773588</v>
      </c>
    </row>
    <row r="43" spans="1:22">
      <c r="A43" s="10" t="s">
        <v>44</v>
      </c>
      <c r="B43" s="111"/>
      <c r="C43" s="111"/>
      <c r="D43" s="209">
        <v>800000</v>
      </c>
      <c r="E43" s="210">
        <f>+D43*E14</f>
        <v>8000000</v>
      </c>
      <c r="F43" s="114"/>
      <c r="G43" s="1"/>
      <c r="H43" s="1"/>
    </row>
    <row r="44" spans="1:22">
      <c r="A44" s="24" t="s">
        <v>18</v>
      </c>
      <c r="B44" s="12">
        <f t="shared" ref="B44:H44" si="0">SUM(B36:B43)</f>
        <v>106500000</v>
      </c>
      <c r="C44" s="12">
        <f t="shared" si="0"/>
        <v>320040000</v>
      </c>
      <c r="D44" s="12">
        <f t="shared" si="0"/>
        <v>11900000</v>
      </c>
      <c r="E44" s="12">
        <f t="shared" si="0"/>
        <v>103200000</v>
      </c>
      <c r="F44" s="12">
        <f t="shared" si="0"/>
        <v>451773588</v>
      </c>
      <c r="G44" s="12">
        <f>SUM(G36:G43)</f>
        <v>25209356.509607352</v>
      </c>
      <c r="H44" s="12">
        <f t="shared" si="0"/>
        <v>25209356.509607352</v>
      </c>
    </row>
    <row r="45" spans="1:22">
      <c r="A45" s="25" t="s">
        <v>56</v>
      </c>
      <c r="B45" s="19">
        <f>+B44*B25</f>
        <v>4260000</v>
      </c>
      <c r="C45" s="19">
        <f>+B45*E15</f>
        <v>42600000</v>
      </c>
      <c r="D45" s="19"/>
      <c r="E45" s="19"/>
      <c r="F45" s="196" t="s">
        <v>110</v>
      </c>
      <c r="G45" s="197">
        <f>+F44/H44</f>
        <v>17.920869492556381</v>
      </c>
      <c r="H45" s="12"/>
    </row>
    <row r="46" spans="1:22">
      <c r="A46" s="3" t="s">
        <v>59</v>
      </c>
      <c r="B46" s="4"/>
      <c r="C46" s="27">
        <f>SUM(C44:C45)</f>
        <v>362640000</v>
      </c>
      <c r="D46" s="4"/>
      <c r="E46" s="27">
        <f>+E44</f>
        <v>103200000</v>
      </c>
      <c r="F46" s="27">
        <f>+F44</f>
        <v>451773588</v>
      </c>
    </row>
    <row r="48" spans="1:22">
      <c r="A48" t="s">
        <v>60</v>
      </c>
      <c r="E48" s="26">
        <f>+C46+E46</f>
        <v>465840000</v>
      </c>
    </row>
    <row r="49" spans="1:6">
      <c r="A49" s="1" t="s">
        <v>61</v>
      </c>
      <c r="B49" s="1"/>
      <c r="C49" s="1"/>
      <c r="D49" s="1"/>
      <c r="E49" s="28">
        <f>+F46</f>
        <v>451773588</v>
      </c>
    </row>
    <row r="50" spans="1:6">
      <c r="A50" s="4" t="str">
        <f>_xlfn.CONCAT("munur  íalt av avreiðingarvirðinum fyri ",E3)</f>
        <v>munur  íalt av avreiðingarvirðinum fyri 2021</v>
      </c>
      <c r="B50" s="4"/>
      <c r="E50" s="27">
        <f>+E48-E49</f>
        <v>14066412</v>
      </c>
    </row>
    <row r="60" spans="1:6" ht="2.25" customHeight="1">
      <c r="A60" s="15" t="s">
        <v>18</v>
      </c>
      <c r="B60" s="12"/>
      <c r="C60" s="12">
        <f>SUM(C44:C45)</f>
        <v>362640000</v>
      </c>
      <c r="D60" s="12"/>
      <c r="E60" s="12"/>
      <c r="F60" s="12"/>
    </row>
    <row r="62" spans="1:6" ht="9" customHeight="1"/>
  </sheetData>
  <sheetProtection sheet="1" selectLockedCells="1"/>
  <mergeCells count="4">
    <mergeCell ref="F33:H33"/>
    <mergeCell ref="G1:H1"/>
    <mergeCell ref="A1:F1"/>
    <mergeCell ref="B4:C4"/>
  </mergeCells>
  <pageMargins left="0.7" right="0.7" top="0.75" bottom="0.75" header="0.3" footer="0.3"/>
  <pageSetup paperSize="9" orientation="landscape" r:id="rId1"/>
  <rowBreaks count="1" manualBreakCount="1">
    <brk id="31" max="16383" man="1"/>
  </rowBreaks>
  <ignoredErrors>
    <ignoredError sqref="C11:G11 E41:E43 C36:C38 E36 G39:G40 C10 H39 G19:G21" unlockedFormula="1"/>
  </ignoredError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8"/>
  <sheetViews>
    <sheetView workbookViewId="0"/>
  </sheetViews>
  <sheetFormatPr defaultRowHeight="15.5"/>
  <cols>
    <col min="4" max="4" width="11.83203125" customWidth="1"/>
    <col min="6" max="6" width="10.25" bestFit="1" customWidth="1"/>
  </cols>
  <sheetData>
    <row r="6" spans="3:6">
      <c r="C6" s="8"/>
      <c r="D6" s="9" t="s">
        <v>26</v>
      </c>
      <c r="E6">
        <v>20</v>
      </c>
      <c r="F6" t="s">
        <v>24</v>
      </c>
    </row>
    <row r="7" spans="3:6">
      <c r="D7" s="9" t="s">
        <v>25</v>
      </c>
      <c r="E7">
        <v>29</v>
      </c>
      <c r="F7" t="s">
        <v>24</v>
      </c>
    </row>
    <row r="8" spans="3:6">
      <c r="D8" s="9" t="s">
        <v>70</v>
      </c>
      <c r="E8">
        <v>28</v>
      </c>
      <c r="F8" t="s">
        <v>24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84"/>
  <sheetViews>
    <sheetView showGridLines="0" topLeftCell="A35" zoomScale="175" zoomScaleNormal="175" workbookViewId="0">
      <selection activeCell="B22" sqref="B22"/>
    </sheetView>
  </sheetViews>
  <sheetFormatPr defaultRowHeight="15.5"/>
  <cols>
    <col min="1" max="1" width="12.83203125" customWidth="1"/>
    <col min="2" max="2" width="12.58203125" customWidth="1"/>
    <col min="3" max="3" width="11.5" customWidth="1"/>
    <col min="4" max="4" width="11.75" customWidth="1"/>
    <col min="5" max="5" width="6.75" customWidth="1"/>
    <col min="6" max="6" width="12.58203125" customWidth="1"/>
    <col min="7" max="7" width="12.75" customWidth="1"/>
    <col min="8" max="8" width="4.08203125" customWidth="1"/>
    <col min="10" max="10" width="9.5" bestFit="1" customWidth="1"/>
    <col min="11" max="11" width="10.33203125" bestFit="1" customWidth="1"/>
    <col min="13" max="13" width="13.83203125" customWidth="1"/>
    <col min="14" max="14" width="12.58203125" bestFit="1" customWidth="1"/>
    <col min="15" max="15" width="9.83203125" bestFit="1" customWidth="1"/>
  </cols>
  <sheetData>
    <row r="1" spans="1:8">
      <c r="A1" s="37"/>
    </row>
    <row r="2" spans="1:8">
      <c r="B2" s="41"/>
      <c r="C2" s="42"/>
      <c r="D2" s="42" t="s">
        <v>7</v>
      </c>
      <c r="E2" s="118" t="s">
        <v>248</v>
      </c>
      <c r="F2" s="42"/>
      <c r="G2" s="42" t="s">
        <v>8</v>
      </c>
      <c r="H2" s="44"/>
    </row>
    <row r="3" spans="1:8">
      <c r="B3" s="45"/>
      <c r="C3" s="2" t="s">
        <v>4</v>
      </c>
      <c r="D3" s="46">
        <f>+framsíða!F44</f>
        <v>451773588</v>
      </c>
      <c r="E3" s="5">
        <v>1</v>
      </c>
      <c r="F3" s="2"/>
      <c r="G3" s="46">
        <f>+framsíða!C44+framsíða!E36</f>
        <v>366240000</v>
      </c>
      <c r="H3" s="47" t="s">
        <v>20</v>
      </c>
    </row>
    <row r="4" spans="1:8">
      <c r="B4" s="45"/>
      <c r="C4" s="2" t="s">
        <v>310</v>
      </c>
      <c r="D4" s="48">
        <f>+framsíða!N11*framsíða!B23</f>
        <v>57396863.931253791</v>
      </c>
      <c r="E4" s="5">
        <v>2</v>
      </c>
      <c r="F4" s="2"/>
      <c r="G4" s="48">
        <f>+framsíða!N8*framsíða!B23</f>
        <v>36105434.782608695</v>
      </c>
      <c r="H4" s="47" t="s">
        <v>20</v>
      </c>
    </row>
    <row r="5" spans="1:8" ht="15.75" customHeight="1">
      <c r="A5" s="37"/>
      <c r="B5" s="49"/>
      <c r="C5" s="3" t="s">
        <v>14</v>
      </c>
      <c r="D5" s="50">
        <f>+D3-D4</f>
        <v>394376724.06874621</v>
      </c>
      <c r="E5" s="5"/>
      <c r="F5" s="3"/>
      <c r="G5" s="50">
        <f>+G3-G4</f>
        <v>330134565.21739131</v>
      </c>
      <c r="H5" s="47" t="s">
        <v>20</v>
      </c>
    </row>
    <row r="6" spans="1:8">
      <c r="B6" s="45"/>
      <c r="C6" t="s">
        <v>9</v>
      </c>
      <c r="D6" s="48">
        <f>+framsíða!B24*'2021'!H17</f>
        <v>10504157.600000001</v>
      </c>
      <c r="E6" s="5">
        <v>3</v>
      </c>
      <c r="G6" s="1">
        <v>0</v>
      </c>
      <c r="H6" s="47" t="s">
        <v>20</v>
      </c>
    </row>
    <row r="7" spans="1:8" ht="14.25" customHeight="1">
      <c r="B7" s="49"/>
      <c r="C7" s="3" t="s">
        <v>21</v>
      </c>
      <c r="D7" s="50">
        <f>+D5-D6</f>
        <v>383872566.46874619</v>
      </c>
      <c r="E7" s="4"/>
      <c r="F7" s="3"/>
      <c r="G7" s="50">
        <f>+G5</f>
        <v>330134565.21739131</v>
      </c>
      <c r="H7" s="47" t="s">
        <v>20</v>
      </c>
    </row>
    <row r="8" spans="1:8">
      <c r="B8" s="49"/>
      <c r="C8" s="51" t="s">
        <v>17</v>
      </c>
      <c r="D8" s="52">
        <f>+G29</f>
        <v>21459245.43</v>
      </c>
      <c r="E8" s="5">
        <v>4</v>
      </c>
      <c r="F8" s="53"/>
      <c r="G8" s="54">
        <f>+G24+G25+G26</f>
        <v>62695500</v>
      </c>
      <c r="H8" s="47" t="s">
        <v>20</v>
      </c>
    </row>
    <row r="9" spans="1:8" ht="15.75" customHeight="1">
      <c r="B9" s="49"/>
      <c r="C9" s="3" t="s">
        <v>10</v>
      </c>
      <c r="D9" s="50">
        <f>+D7-D8</f>
        <v>362413321.03874618</v>
      </c>
      <c r="E9" s="4"/>
      <c r="F9" s="3"/>
      <c r="G9" s="50">
        <f>+G7-G8</f>
        <v>267439065.21739131</v>
      </c>
      <c r="H9" s="47" t="s">
        <v>20</v>
      </c>
    </row>
    <row r="10" spans="1:8" ht="15.75" customHeight="1">
      <c r="B10" s="55" t="s">
        <v>11</v>
      </c>
      <c r="C10" s="56">
        <f>+framsíða!B19</f>
        <v>0.44</v>
      </c>
      <c r="D10" s="57">
        <f>+D9*C10</f>
        <v>159461861.25704831</v>
      </c>
      <c r="E10" s="5">
        <v>5</v>
      </c>
      <c r="F10" s="58">
        <v>0.26200000000000001</v>
      </c>
      <c r="G10" s="59">
        <f>+(G3-G8)*F10</f>
        <v>79528659</v>
      </c>
      <c r="H10" s="47" t="s">
        <v>20</v>
      </c>
    </row>
    <row r="11" spans="1:8">
      <c r="B11" s="55" t="s">
        <v>107</v>
      </c>
      <c r="C11" s="56">
        <f>+framsíða!C19</f>
        <v>3.2750000000000001E-2</v>
      </c>
      <c r="D11" s="52">
        <f>+D10*C11</f>
        <v>5222375.9561683321</v>
      </c>
      <c r="E11" s="5">
        <v>5</v>
      </c>
      <c r="F11" s="58">
        <f>+framsíða!C20</f>
        <v>3.2750000000000001E-2</v>
      </c>
      <c r="G11" s="54">
        <f>+G10*F11</f>
        <v>2604563.58225</v>
      </c>
      <c r="H11" s="47" t="s">
        <v>20</v>
      </c>
    </row>
    <row r="12" spans="1:8" ht="16" thickBot="1">
      <c r="B12" s="60"/>
      <c r="C12" s="61" t="s">
        <v>23</v>
      </c>
      <c r="D12" s="62">
        <f>+D9-D10-D11</f>
        <v>197729083.82552955</v>
      </c>
      <c r="F12" s="61"/>
      <c r="G12" s="62">
        <f>+G9-G10-G11</f>
        <v>185305842.63514131</v>
      </c>
      <c r="H12" s="47" t="s">
        <v>20</v>
      </c>
    </row>
    <row r="13" spans="1:8" ht="9.75" customHeight="1" thickTop="1">
      <c r="B13" s="45"/>
      <c r="H13" s="47"/>
    </row>
    <row r="14" spans="1:8" ht="17.25" customHeight="1">
      <c r="B14" s="63"/>
      <c r="C14" s="7" t="s">
        <v>13</v>
      </c>
      <c r="D14" s="64">
        <f>IF((D12-G12)&gt;0,D12-G12,0)</f>
        <v>12423241.190388232</v>
      </c>
      <c r="E14" s="1"/>
      <c r="F14" s="7" t="s">
        <v>13</v>
      </c>
      <c r="G14" s="64">
        <f>IF((G12-D12)&gt;0,G12-D12,0)</f>
        <v>0</v>
      </c>
      <c r="H14" s="65"/>
    </row>
    <row r="15" spans="1:8">
      <c r="E15" s="43"/>
    </row>
    <row r="16" spans="1:8">
      <c r="B16" s="41"/>
      <c r="C16" s="43"/>
      <c r="D16" s="43"/>
      <c r="E16" s="66" t="s">
        <v>74</v>
      </c>
      <c r="F16" s="43"/>
      <c r="G16" s="21" t="s">
        <v>86</v>
      </c>
      <c r="H16" s="44"/>
    </row>
    <row r="17" spans="1:12" ht="16.5" customHeight="1">
      <c r="A17" s="37"/>
      <c r="B17" s="67"/>
      <c r="D17" s="6" t="s">
        <v>11</v>
      </c>
      <c r="E17" s="6" t="s">
        <v>75</v>
      </c>
      <c r="F17" s="6" t="s">
        <v>15</v>
      </c>
      <c r="G17" s="6" t="s">
        <v>87</v>
      </c>
      <c r="H17" s="47"/>
    </row>
    <row r="18" spans="1:12">
      <c r="B18" s="369" t="s">
        <v>2</v>
      </c>
      <c r="C18" s="370"/>
      <c r="D18" s="57">
        <f>+D10</f>
        <v>159461861.25704831</v>
      </c>
      <c r="E18" s="68">
        <v>0.45</v>
      </c>
      <c r="F18" s="69">
        <f>+D18*E18</f>
        <v>71757837.565671742</v>
      </c>
      <c r="G18" s="69">
        <f>+D18-F18</f>
        <v>87704023.691376567</v>
      </c>
      <c r="H18" s="47" t="s">
        <v>20</v>
      </c>
    </row>
    <row r="19" spans="1:12">
      <c r="B19" s="367" t="s">
        <v>330</v>
      </c>
      <c r="C19" s="368"/>
      <c r="D19" s="70">
        <f>+G10</f>
        <v>79528659</v>
      </c>
      <c r="E19" s="71">
        <v>0.45</v>
      </c>
      <c r="F19" s="70">
        <f>+D19*E19</f>
        <v>35787896.550000004</v>
      </c>
      <c r="G19" s="70">
        <f>+D19-F19</f>
        <v>43740762.449999996</v>
      </c>
      <c r="H19" s="47" t="s">
        <v>20</v>
      </c>
    </row>
    <row r="20" spans="1:12">
      <c r="B20" s="374" t="s">
        <v>295</v>
      </c>
      <c r="C20" s="375"/>
      <c r="D20" s="375"/>
      <c r="E20" s="375"/>
      <c r="F20" s="98">
        <f>+F18-F19</f>
        <v>35969941.015671737</v>
      </c>
      <c r="G20" s="98">
        <f>+G18-G19</f>
        <v>43963261.241376571</v>
      </c>
      <c r="H20" s="72" t="s">
        <v>20</v>
      </c>
    </row>
    <row r="21" spans="1:12" ht="21.75" customHeight="1">
      <c r="B21" s="73" t="s">
        <v>343</v>
      </c>
      <c r="D21" s="74"/>
      <c r="E21" s="75"/>
      <c r="F21" s="3"/>
      <c r="G21" s="50"/>
    </row>
    <row r="22" spans="1:12" ht="21" customHeight="1">
      <c r="B22" s="76"/>
      <c r="C22" s="43"/>
      <c r="D22" s="77"/>
      <c r="E22" s="21" t="s">
        <v>293</v>
      </c>
      <c r="F22" s="66"/>
      <c r="G22" s="66"/>
      <c r="H22" s="44"/>
    </row>
    <row r="23" spans="1:12">
      <c r="B23" s="49"/>
      <c r="C23" s="6" t="s">
        <v>16</v>
      </c>
      <c r="D23" s="6" t="s">
        <v>5</v>
      </c>
      <c r="E23" s="6" t="s">
        <v>72</v>
      </c>
      <c r="F23" s="6" t="s">
        <v>73</v>
      </c>
      <c r="G23" s="6" t="s">
        <v>18</v>
      </c>
      <c r="H23" s="47"/>
    </row>
    <row r="24" spans="1:12">
      <c r="B24" s="81" t="s">
        <v>1</v>
      </c>
      <c r="C24" s="59">
        <f>+framsíða!B36+framsíða!D36</f>
        <v>21100000</v>
      </c>
      <c r="D24" s="266">
        <f>+framsíða!E6</f>
        <v>7</v>
      </c>
      <c r="E24" s="82">
        <f>+framsíða!H6</f>
        <v>0.19</v>
      </c>
      <c r="F24" s="267">
        <f>+E24*D24</f>
        <v>1.33</v>
      </c>
      <c r="G24" s="59">
        <f>+F24*C24</f>
        <v>28063000</v>
      </c>
      <c r="H24" s="47" t="s">
        <v>20</v>
      </c>
    </row>
    <row r="25" spans="1:12">
      <c r="B25" s="81" t="s">
        <v>12</v>
      </c>
      <c r="C25" s="59">
        <f>+framsíða!B37</f>
        <v>10000000</v>
      </c>
      <c r="D25" s="266">
        <f>+framsíða!E7</f>
        <v>5.29</v>
      </c>
      <c r="E25" s="82">
        <f>+framsíða!H7</f>
        <v>0.185</v>
      </c>
      <c r="F25" s="267">
        <f>+E25*D25</f>
        <v>0.97865000000000002</v>
      </c>
      <c r="G25" s="59">
        <f>+F25*C25</f>
        <v>9786500</v>
      </c>
      <c r="H25" s="47" t="s">
        <v>20</v>
      </c>
    </row>
    <row r="26" spans="1:12">
      <c r="B26" s="81" t="s">
        <v>6</v>
      </c>
      <c r="C26" s="54">
        <f>+framsíða!B38</f>
        <v>82000000</v>
      </c>
      <c r="D26" s="83">
        <f>+framsíða!E8</f>
        <v>2.02</v>
      </c>
      <c r="E26" s="84">
        <f>+framsíða!H8</f>
        <v>0.15</v>
      </c>
      <c r="F26" s="85">
        <f>+E26*D26</f>
        <v>0.30299999999999999</v>
      </c>
      <c r="G26" s="54">
        <f>+F26*C26</f>
        <v>24846000</v>
      </c>
      <c r="H26" s="47" t="s">
        <v>20</v>
      </c>
    </row>
    <row r="27" spans="1:12">
      <c r="B27" s="49"/>
      <c r="C27" s="5"/>
      <c r="D27" s="5"/>
      <c r="E27" s="5"/>
      <c r="F27" s="5" t="s">
        <v>19</v>
      </c>
      <c r="G27" s="227">
        <f>SUM(G24:G26)</f>
        <v>62695500</v>
      </c>
      <c r="H27" s="95" t="s">
        <v>20</v>
      </c>
    </row>
    <row r="28" spans="1:12" ht="3" customHeight="1">
      <c r="B28" s="49"/>
      <c r="C28" s="5"/>
      <c r="D28" s="5"/>
      <c r="E28" s="5"/>
      <c r="F28" s="5"/>
      <c r="G28" s="227"/>
      <c r="H28" s="47"/>
    </row>
    <row r="29" spans="1:12">
      <c r="A29" s="37"/>
      <c r="B29" s="265" t="s">
        <v>328</v>
      </c>
      <c r="C29" s="69">
        <f>+framsíða!G44</f>
        <v>25209356.509607352</v>
      </c>
      <c r="D29" s="78">
        <f>+framsíða!E10</f>
        <v>17.920869492556381</v>
      </c>
      <c r="E29" s="79">
        <f>+framsíða!H10</f>
        <v>4.7500000000000001E-2</v>
      </c>
      <c r="F29" s="268">
        <f>+D29*E29</f>
        <v>0.85124130089642813</v>
      </c>
      <c r="G29" s="98">
        <f>+F29*C29</f>
        <v>21459245.43</v>
      </c>
      <c r="H29" s="95" t="s">
        <v>20</v>
      </c>
      <c r="I29" s="46"/>
      <c r="J29" s="80"/>
      <c r="K29" s="75"/>
      <c r="L29" s="3"/>
    </row>
    <row r="30" spans="1:12" ht="8.25" customHeight="1">
      <c r="B30" s="45"/>
      <c r="H30" s="47"/>
      <c r="J30" s="80"/>
      <c r="K30" s="75"/>
    </row>
    <row r="31" spans="1:12">
      <c r="B31" s="372" t="s">
        <v>329</v>
      </c>
      <c r="C31" s="373"/>
      <c r="D31" s="373"/>
      <c r="E31" s="373"/>
      <c r="F31" s="373"/>
      <c r="G31" s="245">
        <f>+G26+G25+G24-G29</f>
        <v>41236254.57</v>
      </c>
      <c r="H31" s="72" t="s">
        <v>20</v>
      </c>
    </row>
    <row r="32" spans="1:12" ht="10.5" customHeight="1"/>
    <row r="33" spans="1:8">
      <c r="B33" s="372" t="s">
        <v>294</v>
      </c>
      <c r="C33" s="373"/>
      <c r="D33" s="373"/>
      <c r="E33" s="373"/>
      <c r="F33" s="373"/>
      <c r="G33" s="107">
        <f>+G31-F20</f>
        <v>5266313.5543282628</v>
      </c>
      <c r="H33" s="87" t="s">
        <v>20</v>
      </c>
    </row>
    <row r="35" spans="1:8" ht="21" customHeight="1">
      <c r="B35" s="231" t="s">
        <v>342</v>
      </c>
      <c r="D35" s="1"/>
    </row>
    <row r="36" spans="1:8" ht="21" customHeight="1">
      <c r="B36" s="96" t="s">
        <v>22</v>
      </c>
      <c r="C36" s="66"/>
      <c r="D36" s="6" t="s">
        <v>16</v>
      </c>
      <c r="E36" s="118" t="s">
        <v>248</v>
      </c>
      <c r="F36" s="270"/>
      <c r="G36" s="43"/>
      <c r="H36" s="44"/>
    </row>
    <row r="37" spans="1:8" ht="12.75" customHeight="1">
      <c r="B37" s="371" t="s">
        <v>1</v>
      </c>
      <c r="C37" s="368"/>
      <c r="D37" s="59">
        <f>+C24</f>
        <v>21100000</v>
      </c>
      <c r="E37" s="5">
        <v>6</v>
      </c>
      <c r="F37" s="91">
        <f>+framsíða!G19</f>
        <v>2.39</v>
      </c>
      <c r="G37" s="92">
        <f>+F37*D37</f>
        <v>50429000</v>
      </c>
      <c r="H37" s="47" t="s">
        <v>20</v>
      </c>
    </row>
    <row r="38" spans="1:8" ht="12.75" customHeight="1">
      <c r="B38" s="371" t="s">
        <v>12</v>
      </c>
      <c r="C38" s="368"/>
      <c r="D38" s="59">
        <f>+C25</f>
        <v>10000000</v>
      </c>
      <c r="E38" s="5">
        <v>6</v>
      </c>
      <c r="F38" s="91">
        <f>+framsíða!G20</f>
        <v>2.39</v>
      </c>
      <c r="G38" s="92">
        <f>+F38*D38</f>
        <v>23900000</v>
      </c>
      <c r="H38" s="47" t="s">
        <v>20</v>
      </c>
    </row>
    <row r="39" spans="1:8" ht="12.75" customHeight="1">
      <c r="B39" s="371" t="s">
        <v>6</v>
      </c>
      <c r="C39" s="368"/>
      <c r="D39" s="54">
        <f>+C26</f>
        <v>82000000</v>
      </c>
      <c r="E39" s="6">
        <v>6</v>
      </c>
      <c r="F39" s="93">
        <f>+framsíða!G21</f>
        <v>3.9450678016243188</v>
      </c>
      <c r="G39" s="94">
        <f>+F39*D39</f>
        <v>323495559.73319411</v>
      </c>
      <c r="H39" s="47" t="s">
        <v>20</v>
      </c>
    </row>
    <row r="40" spans="1:8">
      <c r="B40" s="378" t="s">
        <v>18</v>
      </c>
      <c r="C40" s="379"/>
      <c r="D40" s="379"/>
      <c r="E40" s="379"/>
      <c r="F40" s="379"/>
      <c r="G40" s="107">
        <f>SUM(G37:G39)</f>
        <v>397824559.73319411</v>
      </c>
      <c r="H40" s="95" t="s">
        <v>20</v>
      </c>
    </row>
    <row r="41" spans="1:8" ht="4.5" customHeight="1">
      <c r="B41" s="45"/>
      <c r="H41" s="47"/>
    </row>
    <row r="42" spans="1:8">
      <c r="A42" s="37"/>
      <c r="B42" s="269" t="s">
        <v>331</v>
      </c>
      <c r="D42" s="6" t="s">
        <v>16</v>
      </c>
      <c r="H42" s="47"/>
    </row>
    <row r="43" spans="1:8">
      <c r="B43" s="229" t="s">
        <v>324</v>
      </c>
      <c r="C43" s="51"/>
      <c r="D43" s="271">
        <f>+'2021'!K39+'2021'!K40</f>
        <v>6131925</v>
      </c>
      <c r="F43" s="5"/>
      <c r="G43" s="5"/>
      <c r="H43" s="47"/>
    </row>
    <row r="44" spans="1:8">
      <c r="B44" s="229" t="s">
        <v>208</v>
      </c>
      <c r="C44" s="51"/>
      <c r="D44" s="230">
        <f>+D43*E44</f>
        <v>2636727.75</v>
      </c>
      <c r="E44" s="79">
        <v>0.43</v>
      </c>
      <c r="F44" s="3" t="s">
        <v>0</v>
      </c>
      <c r="G44" s="5" t="s">
        <v>19</v>
      </c>
      <c r="H44" s="47"/>
    </row>
    <row r="45" spans="1:8">
      <c r="B45" s="369" t="s">
        <v>286</v>
      </c>
      <c r="C45" s="370"/>
      <c r="D45" s="88">
        <f>+D44</f>
        <v>2636727.75</v>
      </c>
      <c r="E45" s="88"/>
      <c r="F45" s="89">
        <v>6</v>
      </c>
      <c r="G45" s="90">
        <f>+F45*D45</f>
        <v>15820366.5</v>
      </c>
      <c r="H45" s="47" t="s">
        <v>20</v>
      </c>
    </row>
    <row r="46" spans="1:8" ht="6" customHeight="1">
      <c r="B46" s="45"/>
      <c r="H46" s="47"/>
    </row>
    <row r="47" spans="1:8" ht="18" customHeight="1">
      <c r="B47" s="372" t="s">
        <v>287</v>
      </c>
      <c r="C47" s="373"/>
      <c r="D47" s="373"/>
      <c r="E47" s="373"/>
      <c r="F47" s="373" t="s">
        <v>71</v>
      </c>
      <c r="G47" s="107">
        <f>+G40-G45</f>
        <v>382004193.23319411</v>
      </c>
      <c r="H47" s="99" t="s">
        <v>20</v>
      </c>
    </row>
    <row r="49" spans="1:8" ht="18" customHeight="1">
      <c r="B49" s="96" t="s">
        <v>94</v>
      </c>
      <c r="C49" s="43"/>
      <c r="D49" s="43"/>
      <c r="E49" s="43"/>
      <c r="F49" s="43"/>
      <c r="G49" s="43"/>
      <c r="H49" s="44"/>
    </row>
    <row r="50" spans="1:8">
      <c r="B50" s="371" t="s">
        <v>101</v>
      </c>
      <c r="C50" s="368"/>
      <c r="D50" s="368"/>
      <c r="E50" s="368"/>
      <c r="F50" s="368"/>
      <c r="G50" s="92">
        <f>+G14</f>
        <v>0</v>
      </c>
      <c r="H50" s="97" t="s">
        <v>20</v>
      </c>
    </row>
    <row r="51" spans="1:8">
      <c r="B51" s="371" t="s">
        <v>102</v>
      </c>
      <c r="C51" s="368"/>
      <c r="D51" s="368"/>
      <c r="E51" s="368"/>
      <c r="F51" s="368"/>
      <c r="G51" s="92">
        <f>G31</f>
        <v>41236254.57</v>
      </c>
      <c r="H51" s="97" t="s">
        <v>20</v>
      </c>
    </row>
    <row r="52" spans="1:8">
      <c r="A52" s="37"/>
      <c r="B52" s="380" t="s">
        <v>103</v>
      </c>
      <c r="C52" s="381"/>
      <c r="D52" s="381"/>
      <c r="E52" s="381"/>
      <c r="F52" s="381"/>
      <c r="G52" s="94">
        <f>+G40-G45</f>
        <v>382004193.23319411</v>
      </c>
      <c r="H52" s="97" t="s">
        <v>20</v>
      </c>
    </row>
    <row r="53" spans="1:8">
      <c r="B53" s="378" t="s">
        <v>18</v>
      </c>
      <c r="C53" s="379"/>
      <c r="D53" s="379"/>
      <c r="E53" s="379"/>
      <c r="F53" s="379"/>
      <c r="G53" s="106">
        <f>SUM(G50:G52)</f>
        <v>423240447.80319411</v>
      </c>
      <c r="H53" s="105" t="s">
        <v>20</v>
      </c>
    </row>
    <row r="54" spans="1:8" ht="8.25" customHeight="1">
      <c r="B54" s="45"/>
      <c r="H54" s="47"/>
    </row>
    <row r="55" spans="1:8">
      <c r="B55" s="115" t="s">
        <v>104</v>
      </c>
      <c r="H55" s="47"/>
    </row>
    <row r="56" spans="1:8">
      <c r="B56" s="369" t="s">
        <v>97</v>
      </c>
      <c r="C56" s="370"/>
      <c r="D56" s="370"/>
      <c r="E56" s="370"/>
      <c r="F56" s="370"/>
      <c r="G56" s="104">
        <f>+D14</f>
        <v>12423241.190388232</v>
      </c>
      <c r="H56" s="97" t="s">
        <v>20</v>
      </c>
    </row>
    <row r="57" spans="1:8">
      <c r="B57" s="369" t="s">
        <v>98</v>
      </c>
      <c r="C57" s="370"/>
      <c r="D57" s="370"/>
      <c r="E57" s="370"/>
      <c r="F57" s="370"/>
      <c r="G57" s="104">
        <f>+G20</f>
        <v>43963261.241376571</v>
      </c>
      <c r="H57" s="97" t="s">
        <v>20</v>
      </c>
    </row>
    <row r="58" spans="1:8">
      <c r="B58" s="369" t="s">
        <v>99</v>
      </c>
      <c r="C58" s="370"/>
      <c r="D58" s="370"/>
      <c r="E58" s="370"/>
      <c r="F58" s="370"/>
      <c r="G58" s="104">
        <f>+F20</f>
        <v>35969941.015671737</v>
      </c>
      <c r="H58" s="97" t="s">
        <v>20</v>
      </c>
    </row>
    <row r="59" spans="1:8">
      <c r="B59" s="376" t="s">
        <v>100</v>
      </c>
      <c r="C59" s="377"/>
      <c r="D59" s="377"/>
      <c r="E59" s="377"/>
      <c r="F59" s="377"/>
      <c r="G59" s="98">
        <f>+D11-G11</f>
        <v>2617812.3739183322</v>
      </c>
      <c r="H59" s="97" t="s">
        <v>20</v>
      </c>
    </row>
    <row r="60" spans="1:8">
      <c r="B60" s="382" t="s">
        <v>18</v>
      </c>
      <c r="C60" s="383"/>
      <c r="D60" s="383"/>
      <c r="E60" s="383"/>
      <c r="F60" s="383"/>
      <c r="G60" s="104">
        <f>SUM(G56:G59)</f>
        <v>94974255.821354866</v>
      </c>
      <c r="H60" s="105" t="s">
        <v>20</v>
      </c>
    </row>
    <row r="61" spans="1:8" ht="8.25" customHeight="1">
      <c r="B61" s="45"/>
      <c r="H61" s="47"/>
    </row>
    <row r="62" spans="1:8">
      <c r="B62" s="372" t="s">
        <v>288</v>
      </c>
      <c r="C62" s="373"/>
      <c r="D62" s="373"/>
      <c r="E62" s="373"/>
      <c r="F62" s="373"/>
      <c r="G62" s="107">
        <f>+G53-G60</f>
        <v>328266191.98183924</v>
      </c>
      <c r="H62" s="99" t="s">
        <v>20</v>
      </c>
    </row>
    <row r="63" spans="1:8">
      <c r="G63" s="50"/>
      <c r="H63" s="50"/>
    </row>
    <row r="64" spans="1:8">
      <c r="B64" s="96" t="s">
        <v>290</v>
      </c>
      <c r="C64" s="43"/>
      <c r="D64" s="43"/>
      <c r="E64" s="43"/>
      <c r="F64" s="43"/>
      <c r="G64" s="272"/>
      <c r="H64" s="100"/>
    </row>
    <row r="65" spans="1:8">
      <c r="B65" s="365" t="s">
        <v>28</v>
      </c>
      <c r="C65" s="366"/>
      <c r="D65" s="366"/>
      <c r="E65" s="361">
        <f>+framsíða!E41+framsíða!E42+framsíða!E43</f>
        <v>57000000</v>
      </c>
      <c r="F65" s="361"/>
      <c r="G65" s="43"/>
      <c r="H65" s="44"/>
    </row>
    <row r="66" spans="1:8">
      <c r="B66" s="363" t="str">
        <f>_xlfn.CONCAT("Hýra (línuskip) ",framsíða!B29*100,"%")</f>
        <v>Hýra (línuskip) 42%</v>
      </c>
      <c r="C66" s="364"/>
      <c r="D66" s="364"/>
      <c r="E66" s="364"/>
      <c r="F66" s="103"/>
      <c r="G66" s="50">
        <f>+E65*framsíða!B29</f>
        <v>23940000</v>
      </c>
      <c r="H66" s="47" t="s">
        <v>20</v>
      </c>
    </row>
    <row r="67" spans="1:8">
      <c r="B67" s="354" t="s">
        <v>82</v>
      </c>
      <c r="C67" s="355"/>
      <c r="D67" s="355"/>
      <c r="E67" s="362">
        <f>+framsíða!C45</f>
        <v>42600000</v>
      </c>
      <c r="F67" s="362" t="s">
        <v>83</v>
      </c>
      <c r="G67" s="50"/>
      <c r="H67" s="47"/>
    </row>
    <row r="68" spans="1:8">
      <c r="B68" s="363" t="str">
        <f>_xlfn.CONCAT("Hýra (Trolarar) ",framsíða!B30*100,"%")</f>
        <v>Hýra (Trolarar) 35%</v>
      </c>
      <c r="C68" s="364"/>
      <c r="D68" s="364"/>
      <c r="E68" s="364"/>
      <c r="F68" s="103"/>
      <c r="G68" s="50">
        <f>+E67*framsíða!B30</f>
        <v>14909999.999999998</v>
      </c>
      <c r="H68" s="47" t="s">
        <v>20</v>
      </c>
    </row>
    <row r="69" spans="1:8" ht="5.25" customHeight="1">
      <c r="B69" s="363"/>
      <c r="C69" s="364"/>
      <c r="D69" s="364"/>
      <c r="E69" s="364"/>
      <c r="F69" s="103"/>
      <c r="G69" s="50"/>
      <c r="H69" s="47"/>
    </row>
    <row r="70" spans="1:8">
      <c r="A70" s="37"/>
      <c r="B70" s="363" t="str">
        <f>_xlfn.CONCAT("mett yvirskot hjá Línuskip/trolara ",framsíða!B31*100,"%")</f>
        <v>mett yvirskot hjá Línuskip/trolara 10%</v>
      </c>
      <c r="C70" s="364"/>
      <c r="D70" s="364"/>
      <c r="E70" s="364"/>
      <c r="F70" s="103"/>
      <c r="G70" s="50">
        <f>+(E65+E67)*framsíða!B31</f>
        <v>9960000</v>
      </c>
      <c r="H70" s="47" t="s">
        <v>20</v>
      </c>
    </row>
    <row r="71" spans="1:8" ht="3.75" customHeight="1">
      <c r="B71" s="352"/>
      <c r="C71" s="353"/>
      <c r="D71" s="353"/>
      <c r="E71" s="353"/>
      <c r="H71" s="47"/>
    </row>
    <row r="72" spans="1:8">
      <c r="B72" s="49" t="s">
        <v>76</v>
      </c>
      <c r="F72" s="102" t="s">
        <v>16</v>
      </c>
      <c r="H72" s="47"/>
    </row>
    <row r="73" spans="1:8">
      <c r="B73" s="354" t="s">
        <v>28</v>
      </c>
      <c r="C73" s="355"/>
      <c r="D73" s="355"/>
      <c r="E73" s="274"/>
      <c r="F73" s="46">
        <f>+framsíða!D41+framsíða!D42+framsíða!D43</f>
        <v>5300000</v>
      </c>
      <c r="H73" s="47"/>
    </row>
    <row r="74" spans="1:8">
      <c r="B74" s="352" t="str">
        <f>_xlfn.CONCAT("Russisk hjáveiða av botnfiski ",framsíða!B25*100,"%")</f>
        <v>Russisk hjáveiða av botnfiski 4%</v>
      </c>
      <c r="C74" s="353"/>
      <c r="D74" s="353"/>
      <c r="E74" s="353"/>
      <c r="F74" s="48">
        <f>+framsíða!B45</f>
        <v>4260000</v>
      </c>
      <c r="G74" s="176" t="s">
        <v>291</v>
      </c>
      <c r="H74" s="47"/>
    </row>
    <row r="75" spans="1:8">
      <c r="B75" s="354" t="s">
        <v>80</v>
      </c>
      <c r="C75" s="355"/>
      <c r="D75" s="355"/>
      <c r="E75" s="103"/>
      <c r="F75" s="46">
        <f>+F73+F74</f>
        <v>9560000</v>
      </c>
      <c r="H75" s="47"/>
    </row>
    <row r="76" spans="1:8">
      <c r="B76" s="352" t="str">
        <f>_xlfn.CONCAT("flak á ",framsíða!B28*100,"% av samlað kg. botnfisk")</f>
        <v>flak á 39% av samlað kg. botnfisk</v>
      </c>
      <c r="C76" s="353"/>
      <c r="D76" s="353"/>
      <c r="E76" s="274"/>
      <c r="F76" s="48">
        <f>+F75*framsíða!B28</f>
        <v>3728400</v>
      </c>
      <c r="H76" s="65"/>
    </row>
    <row r="77" spans="1:8">
      <c r="B77" s="354" t="str">
        <f>_xlfn.CONCAT("Virðisøking á kr. ",framsíða!G23, " Kg. Flak ")</f>
        <v xml:space="preserve">Virðisøking á kr. 6 Kg. Flak </v>
      </c>
      <c r="C77" s="355"/>
      <c r="D77" s="355"/>
      <c r="E77" s="273"/>
      <c r="F77" s="116"/>
      <c r="G77" s="86">
        <f>+F76*framsíða!G23</f>
        <v>22370400</v>
      </c>
      <c r="H77" s="72" t="s">
        <v>20</v>
      </c>
    </row>
    <row r="78" spans="1:8" ht="7.5" customHeight="1">
      <c r="B78" s="238"/>
      <c r="C78" s="273"/>
      <c r="D78" s="273"/>
      <c r="E78" s="273"/>
      <c r="F78" s="103"/>
      <c r="G78" s="50"/>
      <c r="H78" s="95"/>
    </row>
    <row r="79" spans="1:8">
      <c r="B79" s="358" t="s">
        <v>292</v>
      </c>
      <c r="C79" s="359"/>
      <c r="D79" s="359"/>
      <c r="E79" s="359"/>
      <c r="F79" s="359"/>
      <c r="G79" s="359"/>
      <c r="H79" s="360"/>
    </row>
    <row r="80" spans="1:8" ht="7.5" customHeight="1">
      <c r="B80" s="101"/>
      <c r="H80" s="47"/>
    </row>
    <row r="81" spans="1:8">
      <c r="B81" s="356" t="s">
        <v>289</v>
      </c>
      <c r="C81" s="357"/>
      <c r="D81" s="357"/>
      <c r="E81" s="357"/>
      <c r="F81" s="357"/>
      <c r="G81" s="64">
        <f>+G77+G70+G68+G66</f>
        <v>71180400</v>
      </c>
      <c r="H81" s="72" t="s">
        <v>20</v>
      </c>
    </row>
    <row r="82" spans="1:8" ht="8.25" customHeight="1">
      <c r="B82" s="103"/>
    </row>
    <row r="83" spans="1:8" ht="16" thickBot="1">
      <c r="B83" s="350" t="s">
        <v>85</v>
      </c>
      <c r="C83" s="351" t="s">
        <v>29</v>
      </c>
      <c r="D83" s="351"/>
      <c r="E83" s="351"/>
      <c r="F83" s="351"/>
      <c r="G83" s="246">
        <f>+G81+G62</f>
        <v>399446591.98183924</v>
      </c>
      <c r="H83" s="247" t="s">
        <v>20</v>
      </c>
    </row>
    <row r="84" spans="1:8" ht="16" thickTop="1">
      <c r="A84" s="37"/>
    </row>
  </sheetData>
  <sheetProtection selectLockedCells="1"/>
  <mergeCells count="38">
    <mergeCell ref="B62:F62"/>
    <mergeCell ref="B51:F51"/>
    <mergeCell ref="B52:F52"/>
    <mergeCell ref="B53:F53"/>
    <mergeCell ref="B57:F57"/>
    <mergeCell ref="B58:F58"/>
    <mergeCell ref="B56:F56"/>
    <mergeCell ref="B60:F60"/>
    <mergeCell ref="B50:F50"/>
    <mergeCell ref="B39:C39"/>
    <mergeCell ref="B47:F47"/>
    <mergeCell ref="B59:F59"/>
    <mergeCell ref="B45:C45"/>
    <mergeCell ref="B40:F40"/>
    <mergeCell ref="B19:C19"/>
    <mergeCell ref="B18:C18"/>
    <mergeCell ref="B38:C38"/>
    <mergeCell ref="B37:C37"/>
    <mergeCell ref="B31:F31"/>
    <mergeCell ref="B33:F33"/>
    <mergeCell ref="B20:E20"/>
    <mergeCell ref="B73:D73"/>
    <mergeCell ref="E65:F65"/>
    <mergeCell ref="B67:D67"/>
    <mergeCell ref="E67:F67"/>
    <mergeCell ref="B71:E71"/>
    <mergeCell ref="B69:E69"/>
    <mergeCell ref="B70:E70"/>
    <mergeCell ref="B68:E68"/>
    <mergeCell ref="B66:E66"/>
    <mergeCell ref="B65:D65"/>
    <mergeCell ref="B83:F83"/>
    <mergeCell ref="B74:E74"/>
    <mergeCell ref="B75:D75"/>
    <mergeCell ref="B76:D76"/>
    <mergeCell ref="B81:F81"/>
    <mergeCell ref="B77:D77"/>
    <mergeCell ref="B79:H79"/>
  </mergeCells>
  <pageMargins left="0.7" right="0.7" top="0.75" bottom="0.75" header="0.3" footer="0.3"/>
  <pageSetup paperSize="9" orientation="portrait" r:id="rId1"/>
  <rowBreaks count="1" manualBreakCount="1">
    <brk id="47" max="16383" man="1"/>
  </rowBreaks>
  <ignoredErrors>
    <ignoredError sqref="D8 D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T134"/>
  <sheetViews>
    <sheetView showGridLines="0" topLeftCell="A30" zoomScale="175" zoomScaleNormal="175" workbookViewId="0">
      <selection activeCell="H59" sqref="H59"/>
    </sheetView>
  </sheetViews>
  <sheetFormatPr defaultColWidth="9" defaultRowHeight="15.5"/>
  <cols>
    <col min="1" max="1" width="9" style="284"/>
    <col min="2" max="2" width="10" style="284" customWidth="1"/>
    <col min="3" max="3" width="13.83203125" style="284" customWidth="1"/>
    <col min="4" max="4" width="11.75" style="284" customWidth="1"/>
    <col min="5" max="5" width="11.83203125" style="284" customWidth="1"/>
    <col min="6" max="6" width="10.5" style="284" customWidth="1"/>
    <col min="7" max="7" width="1.75" style="284" customWidth="1"/>
    <col min="8" max="8" width="11.25" style="284" customWidth="1"/>
    <col min="9" max="9" width="11.75" style="284" customWidth="1"/>
    <col min="10" max="10" width="13.08203125" style="284" customWidth="1"/>
    <col min="11" max="11" width="11.58203125" style="284" customWidth="1"/>
    <col min="12" max="16384" width="9" style="284"/>
  </cols>
  <sheetData>
    <row r="2" spans="2:11" ht="18.5">
      <c r="B2" s="283" t="s">
        <v>217</v>
      </c>
    </row>
    <row r="3" spans="2:11">
      <c r="C3" s="384" t="s">
        <v>218</v>
      </c>
      <c r="D3" s="388"/>
      <c r="E3" s="388"/>
      <c r="F3" s="388"/>
      <c r="G3" s="388"/>
      <c r="H3" s="388"/>
      <c r="I3" s="388"/>
      <c r="J3" s="388"/>
      <c r="K3" s="385"/>
    </row>
    <row r="4" spans="2:11">
      <c r="C4" s="389" t="s">
        <v>325</v>
      </c>
      <c r="D4" s="390"/>
      <c r="E4" s="390"/>
      <c r="F4" s="391"/>
      <c r="H4" s="389" t="s">
        <v>216</v>
      </c>
      <c r="I4" s="390"/>
      <c r="J4" s="390"/>
      <c r="K4" s="391"/>
    </row>
    <row r="5" spans="2:11">
      <c r="D5" s="285" t="s">
        <v>214</v>
      </c>
      <c r="E5" s="285" t="s">
        <v>205</v>
      </c>
      <c r="F5" s="285" t="s">
        <v>215</v>
      </c>
      <c r="I5" s="285" t="s">
        <v>214</v>
      </c>
      <c r="J5" s="285" t="s">
        <v>205</v>
      </c>
      <c r="K5" s="285" t="s">
        <v>215</v>
      </c>
    </row>
    <row r="6" spans="2:11">
      <c r="C6" s="286" t="s">
        <v>124</v>
      </c>
      <c r="D6" s="287">
        <f>'2021'!K6+'2021'!O6</f>
        <v>5219606.5789473681</v>
      </c>
      <c r="E6" s="287">
        <f>+SUM('2021'!L6:N6)</f>
        <v>14441800</v>
      </c>
      <c r="H6" s="286" t="s">
        <v>124</v>
      </c>
      <c r="I6" s="287">
        <f>'2021'!B19+'2021'!F19</f>
        <v>99532261</v>
      </c>
      <c r="J6" s="287">
        <f>+'2021'!C19+'2021'!D19+'2021'!E19</f>
        <v>270730435</v>
      </c>
    </row>
    <row r="7" spans="2:11">
      <c r="C7" s="288" t="s">
        <v>130</v>
      </c>
      <c r="D7" s="289">
        <f>'2021'!K7+'2021'!O7</f>
        <v>538773.68421052629</v>
      </c>
      <c r="E7" s="289">
        <f>+SUM('2021'!L7:N7)</f>
        <v>1196766.6666666667</v>
      </c>
      <c r="F7" s="290"/>
      <c r="H7" s="288" t="s">
        <v>130</v>
      </c>
      <c r="I7" s="289">
        <f>'2021'!B20+'2021'!F20</f>
        <v>8584102</v>
      </c>
      <c r="J7" s="289">
        <f>+'2021'!C20+'2021'!D20+'2021'!E20</f>
        <v>19787317</v>
      </c>
      <c r="K7" s="290"/>
    </row>
    <row r="8" spans="2:11">
      <c r="C8" s="286" t="s">
        <v>132</v>
      </c>
      <c r="D8" s="287">
        <f>'2021'!K8+'2021'!K16+'2021'!O16+SUM('2021'!K9:O14)</f>
        <v>827328.60902255634</v>
      </c>
      <c r="E8" s="287">
        <f>+SUM('2021'!L8:N8)+SUM('2021'!L16:N16)</f>
        <v>635394.4444444445</v>
      </c>
      <c r="H8" s="286" t="s">
        <v>132</v>
      </c>
      <c r="I8" s="287">
        <f>+'2021'!B21+'2021'!B29+'2021'!F29+SUM('2021'!B22:F27)</f>
        <v>9818687</v>
      </c>
      <c r="J8" s="287">
        <f>+'2021'!C21+'2021'!D21+'2021'!E21+'2021'!C29+'2021'!D29+'2021'!E29</f>
        <v>4609281</v>
      </c>
    </row>
    <row r="9" spans="2:11">
      <c r="C9" s="291" t="s">
        <v>134</v>
      </c>
      <c r="D9" s="292"/>
      <c r="E9" s="292"/>
      <c r="F9" s="293">
        <f>+'2021'!Q15</f>
        <v>2349686.5263157897</v>
      </c>
      <c r="H9" s="291" t="s">
        <v>134</v>
      </c>
      <c r="I9" s="292"/>
      <c r="J9" s="292"/>
      <c r="K9" s="293">
        <f>+'2021'!H28</f>
        <v>38711505</v>
      </c>
    </row>
    <row r="10" spans="2:11">
      <c r="C10" s="286" t="s">
        <v>19</v>
      </c>
      <c r="D10" s="287">
        <f>SUM(D6:D9)</f>
        <v>6585708.8721804507</v>
      </c>
      <c r="E10" s="287">
        <f t="shared" ref="E10:F10" si="0">SUM(E6:E9)</f>
        <v>16273961.11111111</v>
      </c>
      <c r="F10" s="287">
        <f t="shared" si="0"/>
        <v>2349686.5263157897</v>
      </c>
      <c r="H10" s="286" t="s">
        <v>19</v>
      </c>
      <c r="I10" s="287">
        <f>SUM(I6:I9)</f>
        <v>117935050</v>
      </c>
      <c r="J10" s="287">
        <f t="shared" ref="J10" si="1">SUM(J6:J9)</f>
        <v>295127033</v>
      </c>
      <c r="K10" s="287">
        <f t="shared" ref="K10" si="2">SUM(K6:K9)</f>
        <v>38711505</v>
      </c>
    </row>
    <row r="11" spans="2:11">
      <c r="C11" s="290"/>
      <c r="D11" s="290"/>
      <c r="E11" s="294" t="s">
        <v>19</v>
      </c>
      <c r="F11" s="295">
        <f>SUM(D10:F10)</f>
        <v>25209356.509607349</v>
      </c>
      <c r="H11" s="290"/>
      <c r="I11" s="290"/>
      <c r="J11" s="294" t="s">
        <v>19</v>
      </c>
      <c r="K11" s="295">
        <f>SUM(I10:K10)</f>
        <v>451773588</v>
      </c>
    </row>
    <row r="13" spans="2:11">
      <c r="C13" s="384" t="s">
        <v>219</v>
      </c>
      <c r="D13" s="388"/>
      <c r="E13" s="388"/>
      <c r="F13" s="388"/>
      <c r="G13" s="385"/>
    </row>
    <row r="14" spans="2:11">
      <c r="D14" s="296" t="s">
        <v>223</v>
      </c>
      <c r="E14" s="296" t="s">
        <v>221</v>
      </c>
      <c r="F14" s="388" t="s">
        <v>222</v>
      </c>
      <c r="G14" s="388"/>
    </row>
    <row r="15" spans="2:11">
      <c r="C15" s="284" t="s">
        <v>1</v>
      </c>
      <c r="D15" s="287">
        <f>+framsíða!B36+framsíða!D36</f>
        <v>21100000</v>
      </c>
      <c r="E15" s="297">
        <v>7</v>
      </c>
      <c r="F15" s="392">
        <f>+D15*E15</f>
        <v>147700000</v>
      </c>
      <c r="G15" s="392"/>
    </row>
    <row r="16" spans="2:11">
      <c r="C16" s="290" t="s">
        <v>12</v>
      </c>
      <c r="D16" s="289">
        <f>+framsíða!B37+framsíða!D37</f>
        <v>10000000</v>
      </c>
      <c r="E16" s="298">
        <v>5.29</v>
      </c>
      <c r="F16" s="393">
        <f t="shared" ref="F16:F17" si="3">+D16*E16</f>
        <v>52900000</v>
      </c>
      <c r="G16" s="393"/>
    </row>
    <row r="17" spans="2:11">
      <c r="C17" s="299" t="s">
        <v>220</v>
      </c>
      <c r="D17" s="300">
        <f>+framsíða!B38+framsíða!D38</f>
        <v>82000000</v>
      </c>
      <c r="E17" s="301">
        <v>2.02</v>
      </c>
      <c r="F17" s="386">
        <f t="shared" si="3"/>
        <v>165640000</v>
      </c>
      <c r="G17" s="386"/>
    </row>
    <row r="18" spans="2:11">
      <c r="C18" s="302" t="s">
        <v>18</v>
      </c>
      <c r="D18" s="295">
        <f>SUM(D15:D17)</f>
        <v>113100000</v>
      </c>
      <c r="E18" s="303">
        <f>+F18/D18</f>
        <v>3.2381962864721485</v>
      </c>
      <c r="F18" s="387">
        <f>SUM(F15:G17)</f>
        <v>366240000</v>
      </c>
      <c r="G18" s="387"/>
    </row>
    <row r="20" spans="2:11" ht="18.5">
      <c r="B20" s="283" t="s">
        <v>224</v>
      </c>
    </row>
    <row r="21" spans="2:11">
      <c r="D21" s="384" t="s">
        <v>203</v>
      </c>
      <c r="E21" s="385"/>
      <c r="F21" s="304" t="s">
        <v>30</v>
      </c>
      <c r="H21" s="304" t="s">
        <v>200</v>
      </c>
      <c r="I21" s="304" t="s">
        <v>199</v>
      </c>
    </row>
    <row r="22" spans="2:11">
      <c r="C22" s="305" t="s">
        <v>204</v>
      </c>
      <c r="D22" s="285" t="s">
        <v>31</v>
      </c>
      <c r="E22" s="285" t="s">
        <v>32</v>
      </c>
      <c r="F22" s="285" t="s">
        <v>33</v>
      </c>
      <c r="H22" s="285" t="s">
        <v>201</v>
      </c>
      <c r="I22" s="285" t="s">
        <v>198</v>
      </c>
    </row>
    <row r="23" spans="2:11">
      <c r="C23" s="288" t="s">
        <v>322</v>
      </c>
      <c r="D23" s="110">
        <f>+framsíða!B10</f>
        <v>1200000</v>
      </c>
      <c r="E23" s="110">
        <f>+framsíða!C10</f>
        <v>39473.68421052632</v>
      </c>
      <c r="F23" s="306">
        <f>+framsíða!D10</f>
        <v>8</v>
      </c>
      <c r="G23" s="290"/>
      <c r="H23" s="110">
        <v>11000</v>
      </c>
      <c r="I23" s="110">
        <v>16000</v>
      </c>
    </row>
    <row r="24" spans="2:11">
      <c r="C24" s="286" t="s">
        <v>321</v>
      </c>
      <c r="D24" s="307">
        <f>+framsíða!B11</f>
        <v>2155000</v>
      </c>
      <c r="E24" s="307">
        <f>+framsíða!C11</f>
        <v>39473.68421052632</v>
      </c>
      <c r="F24" s="308">
        <f>+framsíða!D11</f>
        <v>8</v>
      </c>
      <c r="H24" s="307">
        <f>+H23</f>
        <v>11000</v>
      </c>
      <c r="I24" s="307">
        <f>+I23</f>
        <v>16000</v>
      </c>
    </row>
    <row r="25" spans="2:11" ht="3.75" customHeight="1"/>
    <row r="26" spans="2:11" ht="15" customHeight="1">
      <c r="C26" s="284" t="s">
        <v>320</v>
      </c>
    </row>
    <row r="27" spans="2:11" ht="31">
      <c r="C27" s="309" t="s">
        <v>33</v>
      </c>
      <c r="D27" s="309" t="s">
        <v>225</v>
      </c>
      <c r="E27" s="309" t="s">
        <v>31</v>
      </c>
      <c r="F27" s="309" t="s">
        <v>226</v>
      </c>
      <c r="G27" s="309"/>
      <c r="H27" s="310" t="s">
        <v>318</v>
      </c>
      <c r="I27" s="310" t="s">
        <v>317</v>
      </c>
      <c r="J27" s="310" t="s">
        <v>227</v>
      </c>
      <c r="K27" s="285" t="s">
        <v>222</v>
      </c>
    </row>
    <row r="28" spans="2:11">
      <c r="C28" s="284" t="s">
        <v>323</v>
      </c>
      <c r="D28" s="287">
        <f>+D10+F10</f>
        <v>8935395.3984962404</v>
      </c>
      <c r="E28" s="311">
        <f>+D23</f>
        <v>1200000</v>
      </c>
      <c r="F28" s="312">
        <f>+D28/E28</f>
        <v>7.4461628320802005</v>
      </c>
      <c r="H28" s="313">
        <f>+F28*F23</f>
        <v>59.569302656641604</v>
      </c>
      <c r="I28" s="314">
        <f>+H23*H28</f>
        <v>655262.3292230576</v>
      </c>
      <c r="J28" s="80">
        <f>+framsíða!B23</f>
        <v>5</v>
      </c>
      <c r="K28" s="314">
        <f>+J28*I28</f>
        <v>3276311.6461152881</v>
      </c>
    </row>
    <row r="29" spans="2:11">
      <c r="C29" s="290" t="s">
        <v>321</v>
      </c>
      <c r="D29" s="289">
        <f>+E10</f>
        <v>16273961.11111111</v>
      </c>
      <c r="E29" s="315">
        <f>+D24</f>
        <v>2155000</v>
      </c>
      <c r="F29" s="316">
        <f>+D29/E29</f>
        <v>7.5517220933230211</v>
      </c>
      <c r="G29" s="290"/>
      <c r="H29" s="317">
        <f>+F29*F24</f>
        <v>60.413776746584169</v>
      </c>
      <c r="I29" s="318">
        <f>+H24*H29</f>
        <v>664551.54421242583</v>
      </c>
      <c r="J29" s="319">
        <f>+framsíða!B23</f>
        <v>5</v>
      </c>
      <c r="K29" s="320">
        <f>+J29*I29</f>
        <v>3322757.7210621294</v>
      </c>
    </row>
    <row r="30" spans="2:11">
      <c r="C30" s="284" t="s">
        <v>320</v>
      </c>
      <c r="K30" s="314">
        <f>SUM(K28:K29)</f>
        <v>6599069.3671774175</v>
      </c>
    </row>
    <row r="31" spans="2:11" ht="0.75" customHeight="1"/>
    <row r="32" spans="2:11" ht="31">
      <c r="C32" s="305" t="s">
        <v>228</v>
      </c>
      <c r="D32" s="309" t="s">
        <v>225</v>
      </c>
      <c r="E32" s="309" t="s">
        <v>32</v>
      </c>
      <c r="F32" s="309"/>
      <c r="G32" s="309"/>
      <c r="H32" s="309" t="s">
        <v>230</v>
      </c>
      <c r="I32" s="310" t="s">
        <v>319</v>
      </c>
      <c r="J32" s="309" t="s">
        <v>227</v>
      </c>
      <c r="K32" s="309" t="s">
        <v>222</v>
      </c>
    </row>
    <row r="33" spans="3:11">
      <c r="C33" s="284" t="s">
        <v>323</v>
      </c>
      <c r="D33" s="287">
        <f>+D28</f>
        <v>8935395.3984962404</v>
      </c>
      <c r="E33" s="311">
        <f>+E23</f>
        <v>39473.68421052632</v>
      </c>
      <c r="F33" s="313"/>
      <c r="H33" s="313">
        <f>+D33/E33</f>
        <v>226.36335009523808</v>
      </c>
      <c r="I33" s="314">
        <f>+I23*H33</f>
        <v>3621813.6015238091</v>
      </c>
      <c r="J33" s="80">
        <f>+framsíða!B23</f>
        <v>5</v>
      </c>
      <c r="K33" s="314">
        <f>+J33*I33</f>
        <v>18109068.007619046</v>
      </c>
    </row>
    <row r="34" spans="3:11">
      <c r="C34" s="290" t="s">
        <v>321</v>
      </c>
      <c r="D34" s="289">
        <f>+D29</f>
        <v>16273961.11111111</v>
      </c>
      <c r="E34" s="315">
        <f>+E24</f>
        <v>39473.68421052632</v>
      </c>
      <c r="F34" s="317"/>
      <c r="G34" s="290"/>
      <c r="H34" s="317">
        <f>+D34/E34</f>
        <v>412.27368148148139</v>
      </c>
      <c r="I34" s="318">
        <f>+I24*H34</f>
        <v>6596378.9037037026</v>
      </c>
      <c r="J34" s="319">
        <f>+framsíða!B23</f>
        <v>5</v>
      </c>
      <c r="K34" s="320">
        <f>+J34*I34</f>
        <v>32981894.518518515</v>
      </c>
    </row>
    <row r="35" spans="3:11">
      <c r="C35" s="284" t="s">
        <v>320</v>
      </c>
      <c r="K35" s="314">
        <f>SUM(K33:K34)</f>
        <v>51090962.526137561</v>
      </c>
    </row>
    <row r="36" spans="3:11" ht="3" hidden="1" customHeight="1"/>
    <row r="37" spans="3:11">
      <c r="J37" s="321" t="s">
        <v>229</v>
      </c>
      <c r="K37" s="322">
        <f>+K30+K35</f>
        <v>57690031.89331498</v>
      </c>
    </row>
    <row r="39" spans="3:11">
      <c r="D39" s="384" t="s">
        <v>203</v>
      </c>
      <c r="E39" s="385"/>
      <c r="F39" s="304" t="s">
        <v>30</v>
      </c>
      <c r="H39" s="304" t="s">
        <v>200</v>
      </c>
      <c r="I39" s="304" t="s">
        <v>199</v>
      </c>
    </row>
    <row r="40" spans="3:11">
      <c r="C40" s="323" t="s">
        <v>8</v>
      </c>
      <c r="D40" s="285" t="s">
        <v>31</v>
      </c>
      <c r="E40" s="285" t="s">
        <v>32</v>
      </c>
      <c r="F40" s="285" t="s">
        <v>33</v>
      </c>
      <c r="G40" s="299"/>
      <c r="H40" s="285" t="s">
        <v>201</v>
      </c>
      <c r="I40" s="285" t="s">
        <v>198</v>
      </c>
    </row>
    <row r="41" spans="3:11">
      <c r="C41" s="286" t="s">
        <v>1</v>
      </c>
      <c r="D41" s="307">
        <f>+framsíða!B6</f>
        <v>1200000</v>
      </c>
      <c r="E41" s="307">
        <f>+framsíða!C6</f>
        <v>300000</v>
      </c>
      <c r="F41" s="308">
        <f>+framsíða!D6</f>
        <v>2</v>
      </c>
      <c r="H41" s="307">
        <f>+framsíða!F6</f>
        <v>10000</v>
      </c>
      <c r="I41" s="307">
        <f>+framsíða!G6</f>
        <v>20000</v>
      </c>
    </row>
    <row r="42" spans="3:11">
      <c r="C42" s="288" t="s">
        <v>12</v>
      </c>
      <c r="D42" s="110">
        <f>+framsíða!B7</f>
        <v>1500000</v>
      </c>
      <c r="E42" s="110">
        <f>+framsíða!C7</f>
        <v>300000</v>
      </c>
      <c r="F42" s="306">
        <f>+framsíða!D7</f>
        <v>3</v>
      </c>
      <c r="G42" s="290"/>
      <c r="H42" s="110">
        <f>+framsíða!F7</f>
        <v>10000</v>
      </c>
      <c r="I42" s="110">
        <f>+framsíða!G7</f>
        <v>20000</v>
      </c>
    </row>
    <row r="43" spans="3:11">
      <c r="C43" s="286" t="s">
        <v>220</v>
      </c>
      <c r="D43" s="307">
        <f>+framsíða!B8</f>
        <v>2300000</v>
      </c>
      <c r="E43" s="307">
        <f>+framsíða!C8</f>
        <v>500000</v>
      </c>
      <c r="F43" s="308">
        <f>+framsíða!D8</f>
        <v>4</v>
      </c>
      <c r="H43" s="307">
        <f>+framsíða!F8</f>
        <v>10000</v>
      </c>
      <c r="I43" s="307">
        <f>+framsíða!G8</f>
        <v>20000</v>
      </c>
    </row>
    <row r="44" spans="3:11" ht="2.25" customHeight="1"/>
    <row r="45" spans="3:11" ht="31">
      <c r="C45" s="309" t="s">
        <v>33</v>
      </c>
      <c r="D45" s="309" t="s">
        <v>225</v>
      </c>
      <c r="E45" s="309" t="s">
        <v>31</v>
      </c>
      <c r="F45" s="309" t="s">
        <v>226</v>
      </c>
      <c r="G45" s="309"/>
      <c r="H45" s="310" t="s">
        <v>318</v>
      </c>
      <c r="I45" s="310" t="s">
        <v>317</v>
      </c>
      <c r="J45" s="310" t="s">
        <v>227</v>
      </c>
      <c r="K45" s="309" t="s">
        <v>222</v>
      </c>
    </row>
    <row r="46" spans="3:11">
      <c r="C46" s="286" t="s">
        <v>1</v>
      </c>
      <c r="D46" s="287">
        <f>+framsíða!B36+framsíða!D36</f>
        <v>21100000</v>
      </c>
      <c r="E46" s="307">
        <f>+D41</f>
        <v>1200000</v>
      </c>
      <c r="F46" s="312">
        <f>+D46/E46</f>
        <v>17.583333333333332</v>
      </c>
      <c r="H46" s="313">
        <f>+F46*F41</f>
        <v>35.166666666666664</v>
      </c>
      <c r="I46" s="314">
        <f>+H41*H46</f>
        <v>351666.66666666663</v>
      </c>
      <c r="J46" s="80">
        <f>+framsíða!B23</f>
        <v>5</v>
      </c>
      <c r="K46" s="287">
        <f>+J46*I46</f>
        <v>1758333.333333333</v>
      </c>
    </row>
    <row r="47" spans="3:11">
      <c r="C47" s="288" t="s">
        <v>12</v>
      </c>
      <c r="D47" s="289">
        <f>+framsíða!B37</f>
        <v>10000000</v>
      </c>
      <c r="E47" s="110">
        <f>+D42</f>
        <v>1500000</v>
      </c>
      <c r="F47" s="316">
        <f>+D47/E47</f>
        <v>6.666666666666667</v>
      </c>
      <c r="G47" s="290"/>
      <c r="H47" s="317">
        <f>+F47*F43</f>
        <v>26.666666666666668</v>
      </c>
      <c r="I47" s="318">
        <f>+H43*H47</f>
        <v>266666.66666666669</v>
      </c>
      <c r="J47" s="319">
        <f>+framsíða!B23</f>
        <v>5</v>
      </c>
      <c r="K47" s="289">
        <f>+J47*I47</f>
        <v>1333333.3333333335</v>
      </c>
    </row>
    <row r="48" spans="3:11">
      <c r="C48" s="286" t="s">
        <v>220</v>
      </c>
      <c r="D48" s="287">
        <f>+framsíða!B38</f>
        <v>82000000</v>
      </c>
      <c r="E48" s="307">
        <f>+D43</f>
        <v>2300000</v>
      </c>
      <c r="F48" s="312">
        <f>+D48/E48</f>
        <v>35.652173913043477</v>
      </c>
      <c r="H48" s="313">
        <f>+F48*F43</f>
        <v>142.60869565217391</v>
      </c>
      <c r="I48" s="314">
        <f>+H43*H48</f>
        <v>1426086.956521739</v>
      </c>
      <c r="J48" s="80">
        <f>+framsíða!B23</f>
        <v>5</v>
      </c>
      <c r="K48" s="300">
        <f>+J48*I48</f>
        <v>7130434.7826086953</v>
      </c>
    </row>
    <row r="49" spans="1:11" ht="10.5" customHeight="1">
      <c r="C49" s="286"/>
      <c r="D49" s="287"/>
      <c r="K49" s="287">
        <f>SUM(K46:K48)</f>
        <v>10222101.449275361</v>
      </c>
    </row>
    <row r="50" spans="1:11" ht="8.25" customHeight="1"/>
    <row r="51" spans="1:11">
      <c r="C51" s="305" t="s">
        <v>228</v>
      </c>
      <c r="D51" s="309" t="s">
        <v>225</v>
      </c>
      <c r="E51" s="309" t="s">
        <v>32</v>
      </c>
      <c r="F51" s="309"/>
      <c r="G51" s="309"/>
      <c r="H51" s="309" t="s">
        <v>230</v>
      </c>
      <c r="I51" s="309" t="s">
        <v>231</v>
      </c>
      <c r="J51" s="309" t="s">
        <v>227</v>
      </c>
      <c r="K51" s="309" t="s">
        <v>222</v>
      </c>
    </row>
    <row r="52" spans="1:11">
      <c r="C52" s="286" t="s">
        <v>1</v>
      </c>
      <c r="D52" s="287">
        <f>+D46</f>
        <v>21100000</v>
      </c>
      <c r="E52" s="307">
        <f>+E41</f>
        <v>300000</v>
      </c>
      <c r="F52" s="312">
        <f>+D52/E52</f>
        <v>70.333333333333329</v>
      </c>
      <c r="H52" s="313">
        <f>+D52/E52</f>
        <v>70.333333333333329</v>
      </c>
      <c r="I52" s="314">
        <f>+I41*H52</f>
        <v>1406666.6666666665</v>
      </c>
      <c r="J52" s="80">
        <f>+framsíða!B23</f>
        <v>5</v>
      </c>
      <c r="K52" s="287">
        <f>+J52*I52</f>
        <v>7033333.3333333321</v>
      </c>
    </row>
    <row r="53" spans="1:11">
      <c r="C53" s="288" t="s">
        <v>12</v>
      </c>
      <c r="D53" s="289">
        <f>+D47</f>
        <v>10000000</v>
      </c>
      <c r="E53" s="110">
        <f>+E42</f>
        <v>300000</v>
      </c>
      <c r="F53" s="316">
        <f>+D53/E53</f>
        <v>33.333333333333336</v>
      </c>
      <c r="G53" s="290"/>
      <c r="H53" s="317">
        <f>+D53/E53</f>
        <v>33.333333333333336</v>
      </c>
      <c r="I53" s="318">
        <f t="shared" ref="I53:I54" si="4">+I42*H53</f>
        <v>666666.66666666674</v>
      </c>
      <c r="J53" s="319">
        <f>+framsíða!B23</f>
        <v>5</v>
      </c>
      <c r="K53" s="289">
        <f>+J53*I53</f>
        <v>3333333.333333334</v>
      </c>
    </row>
    <row r="54" spans="1:11">
      <c r="C54" s="286" t="s">
        <v>220</v>
      </c>
      <c r="D54" s="287">
        <f>+D48</f>
        <v>82000000</v>
      </c>
      <c r="E54" s="307">
        <f>+E43</f>
        <v>500000</v>
      </c>
      <c r="F54" s="312">
        <f>+D54/E54</f>
        <v>164</v>
      </c>
      <c r="H54" s="313">
        <f>+D54/E54</f>
        <v>164</v>
      </c>
      <c r="I54" s="314">
        <f t="shared" si="4"/>
        <v>3280000</v>
      </c>
      <c r="J54" s="80">
        <f>+framsíða!B23</f>
        <v>5</v>
      </c>
      <c r="K54" s="300">
        <f>+J54*I54</f>
        <v>16400000</v>
      </c>
    </row>
    <row r="55" spans="1:11">
      <c r="C55" s="286"/>
      <c r="D55" s="287"/>
      <c r="J55" s="323" t="s">
        <v>19</v>
      </c>
      <c r="K55" s="287">
        <f>SUM(K52:K54)</f>
        <v>26766666.666666664</v>
      </c>
    </row>
    <row r="56" spans="1:11" ht="1.5" customHeight="1"/>
    <row r="57" spans="1:11">
      <c r="J57" s="309" t="s">
        <v>229</v>
      </c>
      <c r="K57" s="322">
        <f>+K49+K55</f>
        <v>36988768.115942024</v>
      </c>
    </row>
    <row r="58" spans="1:11" ht="18.5">
      <c r="B58" s="283" t="s">
        <v>234</v>
      </c>
    </row>
    <row r="59" spans="1:11">
      <c r="F59" s="285" t="s">
        <v>3</v>
      </c>
      <c r="G59" s="285"/>
      <c r="H59" s="285" t="s">
        <v>233</v>
      </c>
      <c r="I59" s="285" t="s">
        <v>18</v>
      </c>
    </row>
    <row r="60" spans="1:11">
      <c r="C60" s="284" t="s">
        <v>232</v>
      </c>
      <c r="F60" s="287">
        <f>+'2021'!H17</f>
        <v>13130197</v>
      </c>
      <c r="H60" s="324">
        <f>+framsíða!B24</f>
        <v>0.8</v>
      </c>
      <c r="I60" s="322">
        <f>+F60*H60</f>
        <v>10504157.600000001</v>
      </c>
    </row>
    <row r="61" spans="1:11" ht="18.5">
      <c r="A61" s="283" t="s">
        <v>235</v>
      </c>
    </row>
    <row r="62" spans="1:11">
      <c r="D62" s="304" t="s">
        <v>236</v>
      </c>
      <c r="E62" s="304" t="s">
        <v>249</v>
      </c>
      <c r="F62" s="304" t="s">
        <v>238</v>
      </c>
      <c r="G62" s="304"/>
      <c r="H62" s="304" t="s">
        <v>237</v>
      </c>
      <c r="I62" s="304" t="s">
        <v>240</v>
      </c>
    </row>
    <row r="63" spans="1:11">
      <c r="D63" s="285" t="s">
        <v>16</v>
      </c>
      <c r="E63" s="285" t="s">
        <v>5</v>
      </c>
      <c r="F63" s="285" t="s">
        <v>239</v>
      </c>
      <c r="G63" s="285"/>
      <c r="H63" s="285" t="s">
        <v>233</v>
      </c>
      <c r="I63" s="285" t="s">
        <v>18</v>
      </c>
    </row>
    <row r="64" spans="1:11">
      <c r="C64" s="309" t="s">
        <v>209</v>
      </c>
      <c r="D64" s="287">
        <f>+F11</f>
        <v>25209356.509607349</v>
      </c>
      <c r="E64" s="325">
        <f>+framsíða!E10</f>
        <v>17.920869492556381</v>
      </c>
      <c r="F64" s="326">
        <f>+framsíða!H10</f>
        <v>4.7500000000000001E-2</v>
      </c>
      <c r="H64" s="80">
        <f>+E64*F64</f>
        <v>0.85124130089642813</v>
      </c>
      <c r="I64" s="327">
        <f>+H64*D64</f>
        <v>21459245.43</v>
      </c>
    </row>
    <row r="65" spans="2:9" ht="12.75" customHeight="1"/>
    <row r="66" spans="2:9">
      <c r="D66" s="304" t="s">
        <v>236</v>
      </c>
      <c r="E66" s="304"/>
      <c r="F66" s="304" t="s">
        <v>238</v>
      </c>
      <c r="G66" s="304"/>
      <c r="H66" s="304" t="s">
        <v>237</v>
      </c>
      <c r="I66" s="304" t="s">
        <v>240</v>
      </c>
    </row>
    <row r="67" spans="2:9">
      <c r="C67" s="309" t="s">
        <v>8</v>
      </c>
      <c r="D67" s="285" t="s">
        <v>16</v>
      </c>
      <c r="E67" s="285" t="s">
        <v>110</v>
      </c>
      <c r="F67" s="285" t="s">
        <v>239</v>
      </c>
      <c r="G67" s="285"/>
      <c r="H67" s="285" t="s">
        <v>233</v>
      </c>
      <c r="I67" s="285" t="s">
        <v>18</v>
      </c>
    </row>
    <row r="68" spans="2:9">
      <c r="C68" s="286" t="s">
        <v>1</v>
      </c>
      <c r="D68" s="287">
        <f>+D52</f>
        <v>21100000</v>
      </c>
      <c r="E68" s="325">
        <f>+Útrokning!D24</f>
        <v>7</v>
      </c>
      <c r="F68" s="328">
        <f>+Útrokning!E24</f>
        <v>0.19</v>
      </c>
      <c r="H68" s="80">
        <f>+E68*F68</f>
        <v>1.33</v>
      </c>
      <c r="I68" s="287">
        <f>+H68*D68</f>
        <v>28063000</v>
      </c>
    </row>
    <row r="69" spans="2:9">
      <c r="C69" s="288" t="s">
        <v>12</v>
      </c>
      <c r="D69" s="289">
        <f>+D53</f>
        <v>10000000</v>
      </c>
      <c r="E69" s="329">
        <f>+Útrokning!D25</f>
        <v>5.29</v>
      </c>
      <c r="F69" s="330">
        <f>+Útrokning!E25</f>
        <v>0.185</v>
      </c>
      <c r="G69" s="290"/>
      <c r="H69" s="319">
        <f t="shared" ref="H69:H70" si="5">+E69*F69</f>
        <v>0.97865000000000002</v>
      </c>
      <c r="I69" s="289">
        <f t="shared" ref="I69:I70" si="6">+H69*D69</f>
        <v>9786500</v>
      </c>
    </row>
    <row r="70" spans="2:9">
      <c r="C70" s="286" t="s">
        <v>220</v>
      </c>
      <c r="D70" s="287">
        <f>+D54</f>
        <v>82000000</v>
      </c>
      <c r="E70" s="325">
        <f>+Útrokning!D26</f>
        <v>2.02</v>
      </c>
      <c r="F70" s="328">
        <f>+Útrokning!E26</f>
        <v>0.15</v>
      </c>
      <c r="H70" s="80">
        <f t="shared" si="5"/>
        <v>0.30299999999999999</v>
      </c>
      <c r="I70" s="300">
        <f t="shared" si="6"/>
        <v>24846000</v>
      </c>
    </row>
    <row r="71" spans="2:9">
      <c r="H71" s="323" t="s">
        <v>19</v>
      </c>
      <c r="I71" s="331">
        <f>SUM(I68:I70)</f>
        <v>62695500</v>
      </c>
    </row>
    <row r="73" spans="2:9" ht="18.5">
      <c r="B73" s="283" t="s">
        <v>241</v>
      </c>
    </row>
    <row r="76" spans="2:9">
      <c r="C76" s="305" t="s">
        <v>209</v>
      </c>
      <c r="E76" s="305"/>
      <c r="F76" s="323" t="s">
        <v>10</v>
      </c>
      <c r="H76" s="332">
        <v>362413321.03874618</v>
      </c>
    </row>
    <row r="77" spans="2:9">
      <c r="C77" s="290" t="s">
        <v>242</v>
      </c>
      <c r="D77" s="290" t="s">
        <v>11</v>
      </c>
      <c r="E77" s="330">
        <v>0.415583088235294</v>
      </c>
      <c r="F77" s="290"/>
      <c r="G77" s="290"/>
      <c r="H77" s="333">
        <f>+H76*E77</f>
        <v>150612847.17489117</v>
      </c>
    </row>
    <row r="78" spans="2:9">
      <c r="C78" s="284" t="s">
        <v>244</v>
      </c>
      <c r="D78" s="284" t="s">
        <v>243</v>
      </c>
      <c r="E78" s="326">
        <v>3.2800000000000003E-2</v>
      </c>
      <c r="H78" s="287">
        <f>+H77*E78</f>
        <v>4940101.3873364311</v>
      </c>
    </row>
    <row r="79" spans="2:9" ht="4.5" customHeight="1"/>
    <row r="80" spans="2:9">
      <c r="C80" s="284" t="s">
        <v>326</v>
      </c>
    </row>
    <row r="82" spans="2:10">
      <c r="C82" s="305" t="s">
        <v>245</v>
      </c>
      <c r="F82" s="323" t="s">
        <v>216</v>
      </c>
      <c r="H82" s="287">
        <f>+Útrokning!G3</f>
        <v>366240000</v>
      </c>
    </row>
    <row r="83" spans="2:10">
      <c r="C83" s="290"/>
      <c r="D83" s="290"/>
      <c r="E83" s="290"/>
      <c r="F83" s="334" t="s">
        <v>246</v>
      </c>
      <c r="G83" s="292"/>
      <c r="H83" s="293">
        <f>+I71</f>
        <v>62695500</v>
      </c>
    </row>
    <row r="84" spans="2:10">
      <c r="E84" s="305"/>
      <c r="F84" s="323" t="s">
        <v>247</v>
      </c>
      <c r="G84" s="305"/>
      <c r="H84" s="335">
        <f>+H82-H83</f>
        <v>303544500</v>
      </c>
    </row>
    <row r="85" spans="2:10">
      <c r="C85" s="290"/>
      <c r="D85" s="290" t="s">
        <v>11</v>
      </c>
      <c r="E85" s="330">
        <v>0.26200000000000001</v>
      </c>
      <c r="F85" s="290"/>
      <c r="G85" s="290"/>
      <c r="H85" s="293">
        <f>+H84*E85</f>
        <v>79528659</v>
      </c>
    </row>
    <row r="86" spans="2:10">
      <c r="D86" s="284" t="s">
        <v>243</v>
      </c>
      <c r="E86" s="326">
        <v>3.2800000000000003E-2</v>
      </c>
      <c r="H86" s="336">
        <f>+H85*E86</f>
        <v>2608540.0152000003</v>
      </c>
    </row>
    <row r="87" spans="2:10" ht="6.75" customHeight="1"/>
    <row r="88" spans="2:10">
      <c r="C88" s="284" t="s">
        <v>326</v>
      </c>
    </row>
    <row r="90" spans="2:10">
      <c r="B90" s="305" t="s">
        <v>250</v>
      </c>
    </row>
    <row r="91" spans="2:10">
      <c r="B91" s="305" t="s">
        <v>298</v>
      </c>
      <c r="J91" s="337"/>
    </row>
    <row r="92" spans="2:10" ht="17.25" customHeight="1">
      <c r="D92" s="304" t="s">
        <v>251</v>
      </c>
      <c r="E92" s="304"/>
      <c r="F92" s="304" t="s">
        <v>253</v>
      </c>
      <c r="H92" s="304" t="s">
        <v>254</v>
      </c>
    </row>
    <row r="93" spans="2:10">
      <c r="D93" s="304" t="s">
        <v>252</v>
      </c>
      <c r="E93" s="304" t="s">
        <v>170</v>
      </c>
      <c r="F93" s="304" t="s">
        <v>252</v>
      </c>
      <c r="H93" s="304" t="s">
        <v>252</v>
      </c>
      <c r="I93" s="304" t="s">
        <v>258</v>
      </c>
    </row>
    <row r="94" spans="2:10">
      <c r="D94" s="285">
        <v>2021</v>
      </c>
      <c r="E94" s="285">
        <v>2021</v>
      </c>
      <c r="F94" s="285">
        <v>2021</v>
      </c>
      <c r="G94" s="285"/>
      <c r="H94" s="285">
        <v>2021</v>
      </c>
      <c r="I94" s="285" t="s">
        <v>312</v>
      </c>
    </row>
    <row r="95" spans="2:10">
      <c r="C95" s="286" t="s">
        <v>297</v>
      </c>
      <c r="D95" s="287">
        <v>62806</v>
      </c>
      <c r="E95" s="287">
        <v>41029</v>
      </c>
      <c r="F95" s="287">
        <v>3616</v>
      </c>
      <c r="G95" s="287"/>
      <c r="H95" s="287">
        <v>20448</v>
      </c>
      <c r="I95" s="287"/>
      <c r="J95" s="287">
        <f>SUM(D95:H95)</f>
        <v>127899</v>
      </c>
    </row>
    <row r="96" spans="2:10">
      <c r="B96" s="338"/>
      <c r="C96" s="338" t="s">
        <v>162</v>
      </c>
      <c r="D96" s="293">
        <v>84461</v>
      </c>
      <c r="E96" s="293">
        <v>97342</v>
      </c>
      <c r="F96" s="293">
        <v>3330</v>
      </c>
      <c r="G96" s="293"/>
      <c r="H96" s="293">
        <v>-12182</v>
      </c>
      <c r="I96" s="293"/>
      <c r="J96" s="284">
        <f>+D120*0.4</f>
        <v>291369.2</v>
      </c>
    </row>
    <row r="97" spans="2:11">
      <c r="C97" s="284" t="s">
        <v>18</v>
      </c>
      <c r="D97" s="287">
        <v>147267</v>
      </c>
      <c r="E97" s="287">
        <v>138371</v>
      </c>
      <c r="F97" s="287">
        <v>6946</v>
      </c>
      <c r="G97" s="287">
        <v>0</v>
      </c>
      <c r="H97" s="287">
        <v>8266</v>
      </c>
      <c r="I97" s="287">
        <v>300850</v>
      </c>
      <c r="J97" s="287">
        <f>SUM(J95:J96)</f>
        <v>419268.2</v>
      </c>
    </row>
    <row r="99" spans="2:11">
      <c r="B99" s="284" t="s">
        <v>166</v>
      </c>
      <c r="C99" s="284" t="s">
        <v>166</v>
      </c>
      <c r="D99" s="287">
        <v>350561</v>
      </c>
      <c r="E99" s="287">
        <v>369217</v>
      </c>
      <c r="F99" s="287">
        <v>73447</v>
      </c>
      <c r="G99" s="287"/>
      <c r="H99" s="287">
        <v>229307</v>
      </c>
    </row>
    <row r="100" spans="2:11">
      <c r="B100" s="290"/>
      <c r="C100" s="290" t="s">
        <v>311</v>
      </c>
      <c r="D100" s="293">
        <v>35056.1</v>
      </c>
      <c r="E100" s="293">
        <v>36921.700000000004</v>
      </c>
      <c r="F100" s="293">
        <v>7344.7000000000007</v>
      </c>
      <c r="G100" s="293">
        <v>0</v>
      </c>
      <c r="H100" s="293">
        <v>22930.7</v>
      </c>
      <c r="I100" s="293">
        <v>102253.2</v>
      </c>
    </row>
    <row r="101" spans="2:11">
      <c r="H101" s="323" t="s">
        <v>18</v>
      </c>
      <c r="I101" s="335">
        <f>SUM(I97:I100)</f>
        <v>403103.2</v>
      </c>
      <c r="J101" s="305"/>
      <c r="K101" s="287">
        <f>+D124+I101</f>
        <v>1080895.2</v>
      </c>
    </row>
    <row r="102" spans="2:11">
      <c r="B102" s="284" t="s">
        <v>327</v>
      </c>
      <c r="K102" s="284">
        <f>+J97/K101</f>
        <v>0.38788977876856151</v>
      </c>
    </row>
    <row r="103" spans="2:11">
      <c r="B103" s="284" t="s">
        <v>341</v>
      </c>
    </row>
    <row r="104" spans="2:11" ht="6" customHeight="1"/>
    <row r="105" spans="2:11">
      <c r="B105" s="305" t="s">
        <v>299</v>
      </c>
    </row>
    <row r="106" spans="2:11">
      <c r="C106" s="285" t="s">
        <v>19</v>
      </c>
      <c r="D106" s="339" t="s">
        <v>300</v>
      </c>
      <c r="E106" s="339" t="s">
        <v>301</v>
      </c>
    </row>
    <row r="107" spans="2:11">
      <c r="B107" s="286" t="s">
        <v>175</v>
      </c>
      <c r="C107" s="287">
        <v>99944272</v>
      </c>
      <c r="D107" s="287">
        <v>10166578</v>
      </c>
      <c r="E107" s="287">
        <v>89777694</v>
      </c>
    </row>
    <row r="108" spans="2:11">
      <c r="B108" s="338" t="s">
        <v>145</v>
      </c>
      <c r="C108" s="338">
        <v>86014113</v>
      </c>
      <c r="D108" s="293">
        <v>7204911</v>
      </c>
      <c r="E108" s="293">
        <v>78809202</v>
      </c>
      <c r="F108" s="287"/>
    </row>
    <row r="109" spans="2:11">
      <c r="B109" s="305"/>
      <c r="D109" s="286" t="s">
        <v>259</v>
      </c>
      <c r="E109" s="287">
        <f>SUM(E107:E108)</f>
        <v>168586896</v>
      </c>
      <c r="F109" s="287" t="s">
        <v>16</v>
      </c>
    </row>
    <row r="110" spans="2:11">
      <c r="B110" s="290"/>
      <c r="C110" s="290"/>
      <c r="D110" s="294" t="s">
        <v>267</v>
      </c>
      <c r="E110" s="295">
        <f>+E109/1000</f>
        <v>168586.89600000001</v>
      </c>
      <c r="F110" s="284" t="s">
        <v>266</v>
      </c>
    </row>
    <row r="111" spans="2:11" ht="6.75" customHeight="1"/>
    <row r="112" spans="2:11">
      <c r="C112" s="396" t="s">
        <v>313</v>
      </c>
      <c r="D112" s="396"/>
      <c r="E112" s="394" t="s">
        <v>302</v>
      </c>
      <c r="F112" s="394"/>
      <c r="G112" s="396" t="s">
        <v>303</v>
      </c>
      <c r="H112" s="397" t="s">
        <v>305</v>
      </c>
      <c r="I112" s="397"/>
    </row>
    <row r="113" spans="2:20">
      <c r="C113" s="396"/>
      <c r="D113" s="396"/>
      <c r="E113" s="395" t="s">
        <v>304</v>
      </c>
      <c r="F113" s="395"/>
      <c r="G113" s="396"/>
      <c r="H113" s="397"/>
      <c r="I113" s="397"/>
    </row>
    <row r="114" spans="2:20" ht="5.25" customHeight="1"/>
    <row r="115" spans="2:20" ht="15.75" customHeight="1">
      <c r="C115" s="399" t="s">
        <v>309</v>
      </c>
      <c r="D115" s="399"/>
      <c r="E115" s="399"/>
      <c r="F115" s="300">
        <f>+I101</f>
        <v>403103.2</v>
      </c>
      <c r="G115" s="396" t="s">
        <v>303</v>
      </c>
      <c r="H115" s="398" t="str">
        <f>_xlfn.CONCAT(ROUND(F115/F116,2)," pr. kg.")</f>
        <v>2,39 pr. kg.</v>
      </c>
      <c r="I115" s="340"/>
    </row>
    <row r="116" spans="2:20">
      <c r="C116" s="399"/>
      <c r="D116" s="399"/>
      <c r="E116" s="399"/>
      <c r="F116" s="287">
        <f>+E110</f>
        <v>168586.89600000001</v>
      </c>
      <c r="G116" s="396"/>
      <c r="H116" s="398"/>
      <c r="I116" s="340"/>
    </row>
    <row r="117" spans="2:20">
      <c r="B117" s="305"/>
      <c r="D117" s="304"/>
      <c r="E117" s="341"/>
      <c r="F117" s="287"/>
      <c r="G117" s="342"/>
    </row>
    <row r="118" spans="2:20">
      <c r="D118" s="304" t="s">
        <v>177</v>
      </c>
      <c r="E118" s="341"/>
      <c r="F118" s="287"/>
      <c r="G118" s="342"/>
    </row>
    <row r="119" spans="2:20">
      <c r="D119" s="285">
        <v>2021</v>
      </c>
      <c r="E119" s="341"/>
      <c r="F119" s="287"/>
      <c r="G119" s="342"/>
      <c r="K119" s="284">
        <f>3.2*K102</f>
        <v>1.2412472920593969</v>
      </c>
    </row>
    <row r="120" spans="2:20">
      <c r="C120" s="286" t="s">
        <v>297</v>
      </c>
      <c r="D120" s="287">
        <v>728423</v>
      </c>
      <c r="E120" s="341"/>
      <c r="F120" s="287"/>
      <c r="G120" s="342"/>
    </row>
    <row r="121" spans="2:20">
      <c r="B121" s="338"/>
      <c r="C121" s="338" t="s">
        <v>162</v>
      </c>
      <c r="D121" s="293">
        <v>964036</v>
      </c>
      <c r="E121" s="341"/>
      <c r="G121" s="335"/>
      <c r="T121" s="284" t="s">
        <v>265</v>
      </c>
    </row>
    <row r="122" spans="2:20">
      <c r="C122" s="284" t="s">
        <v>18</v>
      </c>
      <c r="D122" s="287">
        <f>SUM(D119:D121)</f>
        <v>1694480</v>
      </c>
      <c r="E122" s="284" t="s">
        <v>307</v>
      </c>
      <c r="K122" s="284">
        <f>106*K119</f>
        <v>131.57221295829606</v>
      </c>
    </row>
    <row r="123" spans="2:20" ht="6.75" customHeight="1"/>
    <row r="124" spans="2:20">
      <c r="C124" s="286" t="s">
        <v>314</v>
      </c>
      <c r="D124" s="335">
        <f>+D122*0.4</f>
        <v>677792</v>
      </c>
      <c r="E124" s="343" t="s">
        <v>308</v>
      </c>
      <c r="K124" s="284">
        <f>+K122/5</f>
        <v>26.314442591659212</v>
      </c>
    </row>
    <row r="125" spans="2:20" ht="4.5" customHeight="1"/>
    <row r="126" spans="2:20">
      <c r="B126" s="284" t="s">
        <v>315</v>
      </c>
      <c r="D126" s="287"/>
      <c r="F126" s="287"/>
      <c r="G126" s="342"/>
    </row>
    <row r="127" spans="2:20" ht="23.25" customHeight="1">
      <c r="B127" s="305" t="s">
        <v>306</v>
      </c>
    </row>
    <row r="128" spans="2:20">
      <c r="C128" s="285" t="s">
        <v>19</v>
      </c>
      <c r="D128" s="339" t="s">
        <v>300</v>
      </c>
      <c r="E128" s="339" t="s">
        <v>301</v>
      </c>
    </row>
    <row r="129" spans="2:9">
      <c r="B129" s="286" t="s">
        <v>173</v>
      </c>
      <c r="C129" s="300">
        <v>181555167</v>
      </c>
      <c r="D129" s="300">
        <v>9952641</v>
      </c>
      <c r="E129" s="300">
        <v>171602526</v>
      </c>
    </row>
    <row r="130" spans="2:9">
      <c r="B130" s="305"/>
      <c r="D130" s="286" t="s">
        <v>259</v>
      </c>
      <c r="E130" s="287">
        <f>SUM(E129:E129)</f>
        <v>171602526</v>
      </c>
      <c r="F130" s="287" t="s">
        <v>16</v>
      </c>
    </row>
    <row r="131" spans="2:9">
      <c r="B131" s="290"/>
      <c r="C131" s="290"/>
      <c r="D131" s="294" t="s">
        <v>267</v>
      </c>
      <c r="E131" s="295">
        <f>+E130/1000</f>
        <v>171602.52600000001</v>
      </c>
      <c r="F131" s="284" t="s">
        <v>266</v>
      </c>
    </row>
    <row r="133" spans="2:9" ht="15.75" customHeight="1">
      <c r="B133" s="399" t="s">
        <v>316</v>
      </c>
      <c r="C133" s="399"/>
      <c r="D133" s="399"/>
      <c r="E133" s="399"/>
      <c r="F133" s="300">
        <f>+D124</f>
        <v>677792</v>
      </c>
      <c r="G133" s="396" t="s">
        <v>303</v>
      </c>
      <c r="H133" s="398" t="str">
        <f>_xlfn.CONCAT(ROUND(F133/F134,2)," pr. kg.")</f>
        <v>3,95 pr. kg.</v>
      </c>
      <c r="I133" s="340"/>
    </row>
    <row r="134" spans="2:9">
      <c r="B134" s="399"/>
      <c r="C134" s="399"/>
      <c r="D134" s="399"/>
      <c r="E134" s="399"/>
      <c r="F134" s="287">
        <f>+E131</f>
        <v>171602.52600000001</v>
      </c>
      <c r="G134" s="396"/>
      <c r="H134" s="398"/>
      <c r="I134" s="340"/>
    </row>
  </sheetData>
  <sheetProtection sheet="1" objects="1" scenarios="1"/>
  <mergeCells count="22">
    <mergeCell ref="G133:G134"/>
    <mergeCell ref="H133:H134"/>
    <mergeCell ref="C115:E116"/>
    <mergeCell ref="G115:G116"/>
    <mergeCell ref="H115:H116"/>
    <mergeCell ref="B133:E134"/>
    <mergeCell ref="E112:F112"/>
    <mergeCell ref="E113:F113"/>
    <mergeCell ref="G112:G113"/>
    <mergeCell ref="H112:I113"/>
    <mergeCell ref="C112:D113"/>
    <mergeCell ref="C4:F4"/>
    <mergeCell ref="H4:K4"/>
    <mergeCell ref="C3:K3"/>
    <mergeCell ref="F15:G15"/>
    <mergeCell ref="F16:G16"/>
    <mergeCell ref="D39:E39"/>
    <mergeCell ref="F17:G17"/>
    <mergeCell ref="F18:G18"/>
    <mergeCell ref="C13:G13"/>
    <mergeCell ref="F14:G14"/>
    <mergeCell ref="D21:E21"/>
  </mergeCells>
  <pageMargins left="0.7" right="0.7" top="0.75" bottom="0.75" header="0.3" footer="0.3"/>
  <pageSetup paperSize="9" orientation="portrait" r:id="rId1"/>
  <ignoredErrors>
    <ignoredError sqref="H24:I24 F46:F48 F52:F54 E18 F28:F29" unlockedFormula="1"/>
    <ignoredError sqref="H47:I4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2"/>
  <sheetViews>
    <sheetView showGridLines="0" zoomScale="115" zoomScaleNormal="115" workbookViewId="0">
      <selection activeCell="G33" sqref="G33"/>
    </sheetView>
  </sheetViews>
  <sheetFormatPr defaultRowHeight="15.5"/>
  <cols>
    <col min="3" max="4" width="9.75" bestFit="1" customWidth="1"/>
    <col min="5" max="5" width="9" bestFit="1" customWidth="1"/>
    <col min="6" max="6" width="4.08203125" customWidth="1"/>
    <col min="7" max="7" width="11.75" customWidth="1"/>
  </cols>
  <sheetData>
    <row r="3" spans="2:10">
      <c r="C3" s="344">
        <v>2020</v>
      </c>
      <c r="D3" s="345"/>
      <c r="E3" s="346"/>
    </row>
    <row r="4" spans="2:10">
      <c r="B4" s="2"/>
      <c r="C4" s="20" t="s">
        <v>46</v>
      </c>
      <c r="D4" s="20" t="s">
        <v>46</v>
      </c>
      <c r="E4" s="264"/>
      <c r="H4" s="344">
        <v>2020</v>
      </c>
      <c r="I4" s="345"/>
      <c r="J4" s="346"/>
    </row>
    <row r="5" spans="2:10">
      <c r="B5" s="2"/>
      <c r="C5" s="22" t="s">
        <v>40</v>
      </c>
      <c r="D5" s="22" t="s">
        <v>41</v>
      </c>
      <c r="E5" s="218" t="s">
        <v>125</v>
      </c>
      <c r="H5" s="261" t="s">
        <v>40</v>
      </c>
      <c r="I5" s="6" t="s">
        <v>41</v>
      </c>
      <c r="J5" s="261" t="s">
        <v>125</v>
      </c>
    </row>
    <row r="6" spans="2:10">
      <c r="B6" s="24" t="s">
        <v>1</v>
      </c>
      <c r="C6" s="263">
        <v>12500</v>
      </c>
      <c r="D6" s="248">
        <v>6600</v>
      </c>
      <c r="E6" s="253">
        <f>SUM(C6:D6)</f>
        <v>19100</v>
      </c>
      <c r="G6" s="24" t="s">
        <v>124</v>
      </c>
      <c r="H6" s="253">
        <v>15690</v>
      </c>
      <c r="I6" s="258">
        <v>4945</v>
      </c>
      <c r="J6" s="253">
        <f>+I6+H6</f>
        <v>20635</v>
      </c>
    </row>
    <row r="7" spans="2:10">
      <c r="B7" s="2" t="s">
        <v>12</v>
      </c>
      <c r="C7" s="254">
        <v>8555</v>
      </c>
      <c r="D7" s="249"/>
      <c r="E7" s="254">
        <f t="shared" ref="E7:E11" si="0">SUM(C7:D7)</f>
        <v>8555</v>
      </c>
      <c r="G7" s="2" t="s">
        <v>130</v>
      </c>
      <c r="H7" s="254">
        <v>1569</v>
      </c>
      <c r="I7" s="259">
        <v>1100</v>
      </c>
      <c r="J7" s="254">
        <f t="shared" ref="J7:J9" si="1">+I7+H7</f>
        <v>2669</v>
      </c>
    </row>
    <row r="8" spans="2:10">
      <c r="B8" s="24" t="s">
        <v>27</v>
      </c>
      <c r="C8" s="253">
        <v>82000</v>
      </c>
      <c r="D8" s="250"/>
      <c r="E8" s="253">
        <f t="shared" si="0"/>
        <v>82000</v>
      </c>
      <c r="G8" s="24" t="s">
        <v>132</v>
      </c>
      <c r="H8" s="253">
        <v>900</v>
      </c>
      <c r="I8" s="260">
        <v>900</v>
      </c>
      <c r="J8" s="253">
        <f t="shared" si="1"/>
        <v>1800</v>
      </c>
    </row>
    <row r="9" spans="2:10">
      <c r="B9" s="2" t="s">
        <v>42</v>
      </c>
      <c r="C9" s="255"/>
      <c r="D9" s="251">
        <v>2000</v>
      </c>
      <c r="E9" s="255">
        <f t="shared" si="0"/>
        <v>2000</v>
      </c>
      <c r="G9" s="10" t="s">
        <v>134</v>
      </c>
      <c r="H9" s="262">
        <v>4500</v>
      </c>
      <c r="I9" s="1"/>
      <c r="J9" s="262">
        <f t="shared" si="1"/>
        <v>4500</v>
      </c>
    </row>
    <row r="10" spans="2:10">
      <c r="B10" s="24" t="s">
        <v>45</v>
      </c>
      <c r="C10" s="256"/>
      <c r="D10" s="248">
        <v>2500</v>
      </c>
      <c r="E10" s="256">
        <f t="shared" si="0"/>
        <v>2500</v>
      </c>
      <c r="I10" s="4" t="s">
        <v>19</v>
      </c>
      <c r="J10" s="50">
        <f>SUM(J6:J9)</f>
        <v>29604</v>
      </c>
    </row>
    <row r="11" spans="2:10">
      <c r="B11" s="10" t="s">
        <v>44</v>
      </c>
      <c r="C11" s="257"/>
      <c r="D11" s="252">
        <v>800</v>
      </c>
      <c r="E11" s="257">
        <f t="shared" si="0"/>
        <v>800</v>
      </c>
    </row>
    <row r="12" spans="2:10">
      <c r="D12" s="4" t="s">
        <v>19</v>
      </c>
      <c r="E12" s="27">
        <f>SUM(E6:E11)</f>
        <v>114955</v>
      </c>
    </row>
  </sheetData>
  <mergeCells count="2">
    <mergeCell ref="H4:J4"/>
    <mergeCell ref="C3:E3"/>
  </mergeCells>
  <pageMargins left="0.7" right="0.7" top="0.75" bottom="0.75" header="0.3" footer="0.3"/>
  <pageSetup paperSize="9" orientation="portrait" r:id="rId1"/>
  <ignoredErrors>
    <ignoredError sqref="E6:E8 J6:J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56"/>
  <sheetViews>
    <sheetView topLeftCell="F1" workbookViewId="0">
      <selection activeCell="W28" sqref="W28"/>
    </sheetView>
  </sheetViews>
  <sheetFormatPr defaultRowHeight="15.5"/>
  <cols>
    <col min="1" max="1" width="11.25" customWidth="1"/>
    <col min="2" max="2" width="10.33203125" customWidth="1"/>
    <col min="3" max="3" width="10" customWidth="1"/>
    <col min="4" max="4" width="10.5" customWidth="1"/>
    <col min="5" max="5" width="10" customWidth="1"/>
    <col min="6" max="6" width="10.58203125" customWidth="1"/>
    <col min="8" max="8" width="11" customWidth="1"/>
    <col min="10" max="10" width="10.83203125" bestFit="1" customWidth="1"/>
    <col min="11" max="11" width="11.83203125" bestFit="1" customWidth="1"/>
    <col min="12" max="12" width="9.83203125" bestFit="1" customWidth="1"/>
    <col min="13" max="13" width="11.58203125" bestFit="1" customWidth="1"/>
    <col min="14" max="14" width="9.75" customWidth="1"/>
    <col min="17" max="17" width="11.33203125" customWidth="1"/>
    <col min="18" max="18" width="9.83203125" bestFit="1" customWidth="1"/>
    <col min="19" max="19" width="10.08203125" bestFit="1" customWidth="1"/>
    <col min="20" max="20" width="9.83203125" bestFit="1" customWidth="1"/>
    <col min="25" max="25" width="11.33203125" customWidth="1"/>
    <col min="29" max="29" width="9.83203125" bestFit="1" customWidth="1"/>
  </cols>
  <sheetData>
    <row r="1" spans="1:27">
      <c r="K1" s="4" t="s">
        <v>111</v>
      </c>
    </row>
    <row r="2" spans="1:27" ht="16" thickBot="1">
      <c r="K2" s="120" t="s">
        <v>112</v>
      </c>
      <c r="L2" s="121">
        <v>0.76</v>
      </c>
    </row>
    <row r="3" spans="1:27" ht="16" thickBot="1">
      <c r="K3" s="122" t="s">
        <v>113</v>
      </c>
      <c r="L3" s="123">
        <v>1</v>
      </c>
      <c r="Z3" s="124"/>
      <c r="AA3" s="124"/>
    </row>
    <row r="4" spans="1:27" ht="16" thickBot="1">
      <c r="A4" s="400" t="s">
        <v>114</v>
      </c>
      <c r="B4" s="400"/>
      <c r="C4" s="400"/>
      <c r="D4" s="400"/>
      <c r="E4" s="400"/>
      <c r="F4" s="400"/>
      <c r="G4" s="400"/>
      <c r="H4" s="400"/>
      <c r="K4" s="125" t="s">
        <v>115</v>
      </c>
      <c r="L4" s="126">
        <v>0.36</v>
      </c>
      <c r="M4" s="401" t="s">
        <v>116</v>
      </c>
      <c r="N4" s="400"/>
      <c r="O4" s="400"/>
      <c r="P4" s="400"/>
      <c r="Q4" s="400"/>
      <c r="R4" s="400"/>
    </row>
    <row r="5" spans="1:27" ht="22.5" customHeight="1">
      <c r="A5" s="127"/>
      <c r="B5" s="128" t="s">
        <v>117</v>
      </c>
      <c r="C5" s="128" t="s">
        <v>118</v>
      </c>
      <c r="D5" s="128" t="s">
        <v>119</v>
      </c>
      <c r="E5" s="128" t="s">
        <v>120</v>
      </c>
      <c r="F5" s="128" t="s">
        <v>121</v>
      </c>
      <c r="G5" s="128" t="s">
        <v>122</v>
      </c>
      <c r="H5" s="128" t="s">
        <v>123</v>
      </c>
      <c r="K5" s="129" t="s">
        <v>117</v>
      </c>
      <c r="L5" s="128" t="s">
        <v>118</v>
      </c>
      <c r="M5" s="128" t="s">
        <v>119</v>
      </c>
      <c r="N5" s="128" t="s">
        <v>120</v>
      </c>
      <c r="O5" s="128" t="s">
        <v>121</v>
      </c>
      <c r="P5" s="128" t="s">
        <v>122</v>
      </c>
      <c r="Q5" s="130" t="s">
        <v>123</v>
      </c>
      <c r="R5" s="131" t="s">
        <v>110</v>
      </c>
      <c r="U5" s="344">
        <v>2021</v>
      </c>
      <c r="V5" s="345"/>
      <c r="W5" s="345"/>
      <c r="X5" s="346"/>
    </row>
    <row r="6" spans="1:27">
      <c r="A6" s="132" t="s">
        <v>124</v>
      </c>
      <c r="B6" s="132">
        <v>3671687</v>
      </c>
      <c r="C6" s="132">
        <v>1924469</v>
      </c>
      <c r="D6" s="132">
        <v>1963153</v>
      </c>
      <c r="E6" s="132">
        <v>1311426</v>
      </c>
      <c r="F6" s="132">
        <v>295214</v>
      </c>
      <c r="G6" s="132"/>
      <c r="H6" s="133">
        <f>SUM(B6:G6)</f>
        <v>9165949</v>
      </c>
      <c r="J6" s="132" t="s">
        <v>124</v>
      </c>
      <c r="K6" s="134">
        <f>+B6/L2</f>
        <v>4831167.1052631577</v>
      </c>
      <c r="L6" s="59">
        <f>+C6/L4</f>
        <v>5345747.222222222</v>
      </c>
      <c r="M6" s="59">
        <f>+D6/L4</f>
        <v>5453202.777777778</v>
      </c>
      <c r="N6" s="59">
        <f>+E6/L4</f>
        <v>3642850</v>
      </c>
      <c r="O6" s="134">
        <f>+F6/L2</f>
        <v>388439.4736842105</v>
      </c>
      <c r="P6" s="134">
        <f>+G6/L2</f>
        <v>0</v>
      </c>
      <c r="Q6" s="46">
        <f>SUM(K6:P6)</f>
        <v>19661406.578947369</v>
      </c>
      <c r="R6" s="135">
        <f t="shared" ref="R6:R17" si="0">+H19/Q6</f>
        <v>18.831953579377284</v>
      </c>
      <c r="U6" s="6" t="s">
        <v>40</v>
      </c>
      <c r="V6" s="6" t="s">
        <v>41</v>
      </c>
      <c r="W6" s="6" t="s">
        <v>125</v>
      </c>
      <c r="X6" s="6" t="s">
        <v>126</v>
      </c>
    </row>
    <row r="7" spans="1:27">
      <c r="A7" s="136" t="s">
        <v>127</v>
      </c>
      <c r="B7" s="136">
        <v>323091</v>
      </c>
      <c r="C7" s="136">
        <v>200054</v>
      </c>
      <c r="D7" s="136">
        <v>144607</v>
      </c>
      <c r="E7" s="136">
        <v>86175</v>
      </c>
      <c r="F7" s="136">
        <v>86377</v>
      </c>
      <c r="G7" s="136"/>
      <c r="H7" s="119">
        <f t="shared" ref="H7:H16" si="1">SUM(B7:G7)</f>
        <v>840304</v>
      </c>
      <c r="J7" s="136" t="s">
        <v>127</v>
      </c>
      <c r="K7" s="134">
        <f>+B7/L2</f>
        <v>425119.73684210528</v>
      </c>
      <c r="L7" s="59">
        <f>+C7/L4</f>
        <v>555705.55555555562</v>
      </c>
      <c r="M7" s="59">
        <f>+D7/L4</f>
        <v>401686.11111111112</v>
      </c>
      <c r="N7" s="59">
        <f>+E7/L4</f>
        <v>239375</v>
      </c>
      <c r="O7" s="134">
        <f>+F7/L2</f>
        <v>113653.94736842105</v>
      </c>
      <c r="P7" s="134">
        <f>+G7/L2</f>
        <v>0</v>
      </c>
      <c r="Q7" s="46">
        <f t="shared" ref="Q7:Q16" si="2">SUM(K7:P7)</f>
        <v>1735540.3508771933</v>
      </c>
      <c r="R7" s="135">
        <f t="shared" si="0"/>
        <v>16.347311651763238</v>
      </c>
      <c r="T7" s="2" t="s">
        <v>124</v>
      </c>
      <c r="U7" s="46">
        <v>17690</v>
      </c>
      <c r="V7" s="46">
        <v>4945</v>
      </c>
      <c r="W7" s="46">
        <f>+V7+U7</f>
        <v>22635</v>
      </c>
      <c r="X7" s="46">
        <f>+Q6/1000</f>
        <v>19661.406578947368</v>
      </c>
      <c r="Y7" s="4" t="s">
        <v>128</v>
      </c>
    </row>
    <row r="8" spans="1:27">
      <c r="A8" s="132" t="s">
        <v>129</v>
      </c>
      <c r="B8" s="132">
        <v>124826</v>
      </c>
      <c r="C8" s="132">
        <v>23107</v>
      </c>
      <c r="D8" s="132">
        <v>104767</v>
      </c>
      <c r="E8" s="132">
        <v>16164</v>
      </c>
      <c r="F8" s="137"/>
      <c r="G8" s="132"/>
      <c r="H8" s="133">
        <f t="shared" si="1"/>
        <v>268864</v>
      </c>
      <c r="J8" s="132" t="s">
        <v>129</v>
      </c>
      <c r="K8" s="134">
        <f>+B8/L2</f>
        <v>164244.73684210525</v>
      </c>
      <c r="L8" s="59">
        <f>+C8/L4</f>
        <v>64186.111111111117</v>
      </c>
      <c r="M8" s="59">
        <f>+D8/L4</f>
        <v>291019.44444444444</v>
      </c>
      <c r="N8" s="59">
        <f>+E8/L4</f>
        <v>44900</v>
      </c>
      <c r="O8" s="134">
        <f>+F8/L2</f>
        <v>0</v>
      </c>
      <c r="P8" s="134">
        <f>+G8/L2</f>
        <v>0</v>
      </c>
      <c r="Q8" s="46">
        <f t="shared" si="2"/>
        <v>564350.29239766079</v>
      </c>
      <c r="R8" s="135">
        <f t="shared" si="0"/>
        <v>7.7851257617567793</v>
      </c>
      <c r="T8" s="2" t="s">
        <v>130</v>
      </c>
      <c r="U8" s="46">
        <v>1769</v>
      </c>
      <c r="V8" s="46">
        <v>1100</v>
      </c>
      <c r="W8" s="46">
        <f t="shared" ref="W8:W10" si="3">+V8+U8</f>
        <v>2869</v>
      </c>
      <c r="X8" s="46">
        <f>+Q7/1000</f>
        <v>1735.5403508771933</v>
      </c>
      <c r="Y8" s="4" t="s">
        <v>128</v>
      </c>
    </row>
    <row r="9" spans="1:27" ht="17.25" customHeight="1">
      <c r="A9" s="136" t="s">
        <v>131</v>
      </c>
      <c r="B9" s="136">
        <v>69081</v>
      </c>
      <c r="C9" s="136">
        <v>98628</v>
      </c>
      <c r="D9" s="136">
        <v>64899</v>
      </c>
      <c r="E9" s="136">
        <v>58760</v>
      </c>
      <c r="F9" s="138"/>
      <c r="G9" s="136"/>
      <c r="H9" s="119">
        <f t="shared" si="1"/>
        <v>291368</v>
      </c>
      <c r="J9" s="136" t="s">
        <v>131</v>
      </c>
      <c r="K9" s="134">
        <f>+B9/L2</f>
        <v>90896.052631578947</v>
      </c>
      <c r="L9" s="134">
        <f>+C9/L2</f>
        <v>129773.68421052632</v>
      </c>
      <c r="M9" s="134">
        <f>+D9/L2</f>
        <v>85393.421052631573</v>
      </c>
      <c r="N9" s="134">
        <f>+E9/L2</f>
        <v>77315.789473684214</v>
      </c>
      <c r="O9" s="134">
        <f>+F9/L2</f>
        <v>0</v>
      </c>
      <c r="P9" s="134">
        <f>+G9/L2</f>
        <v>0</v>
      </c>
      <c r="Q9" s="46">
        <f t="shared" si="2"/>
        <v>383378.94736842107</v>
      </c>
      <c r="R9" s="135">
        <f t="shared" si="0"/>
        <v>10.421785096510254</v>
      </c>
      <c r="T9" s="2" t="s">
        <v>132</v>
      </c>
      <c r="U9" s="46">
        <v>900</v>
      </c>
      <c r="V9" s="46">
        <v>900</v>
      </c>
      <c r="W9" s="46">
        <f t="shared" si="3"/>
        <v>1800</v>
      </c>
      <c r="X9" s="46">
        <f>(Q8+Q10+Q11+Q12+Q13+Q14+Q16+Q9)/1000</f>
        <v>1462.7230534670009</v>
      </c>
      <c r="Y9" s="4" t="s">
        <v>128</v>
      </c>
    </row>
    <row r="10" spans="1:27">
      <c r="A10" s="132" t="s">
        <v>133</v>
      </c>
      <c r="B10" s="132">
        <v>802</v>
      </c>
      <c r="C10" s="132"/>
      <c r="D10" s="132"/>
      <c r="E10" s="132"/>
      <c r="F10" s="132"/>
      <c r="G10" s="132"/>
      <c r="H10" s="133">
        <f t="shared" si="1"/>
        <v>802</v>
      </c>
      <c r="J10" s="132" t="s">
        <v>133</v>
      </c>
      <c r="K10" s="134">
        <f>+B10/L2</f>
        <v>1055.2631578947369</v>
      </c>
      <c r="L10" s="134">
        <f t="shared" ref="L10:N12" si="4">+C10/35*100</f>
        <v>0</v>
      </c>
      <c r="M10" s="134">
        <f t="shared" si="4"/>
        <v>0</v>
      </c>
      <c r="N10" s="134">
        <f t="shared" si="4"/>
        <v>0</v>
      </c>
      <c r="O10" s="134">
        <f>+F10/L2</f>
        <v>0</v>
      </c>
      <c r="P10" s="134">
        <f>+G10/L2</f>
        <v>0</v>
      </c>
      <c r="Q10" s="46">
        <f t="shared" si="2"/>
        <v>1055.2631578947369</v>
      </c>
      <c r="R10" s="135">
        <f t="shared" si="0"/>
        <v>7.5981047381546132</v>
      </c>
      <c r="T10" s="10" t="s">
        <v>134</v>
      </c>
      <c r="U10" s="48">
        <v>4000</v>
      </c>
      <c r="V10" s="1"/>
      <c r="W10" s="48">
        <f t="shared" si="3"/>
        <v>4000</v>
      </c>
      <c r="X10" s="48">
        <f>+Q15/1000</f>
        <v>2349.6865263157897</v>
      </c>
      <c r="Y10" s="4" t="s">
        <v>128</v>
      </c>
    </row>
    <row r="11" spans="1:27">
      <c r="A11" s="136" t="s">
        <v>42</v>
      </c>
      <c r="B11" s="136"/>
      <c r="C11" s="136"/>
      <c r="D11" s="136"/>
      <c r="E11" s="136"/>
      <c r="F11" s="136">
        <v>225</v>
      </c>
      <c r="G11" s="136"/>
      <c r="H11" s="119">
        <f t="shared" si="1"/>
        <v>225</v>
      </c>
      <c r="J11" s="136" t="s">
        <v>42</v>
      </c>
      <c r="K11" s="134">
        <f>+B11/L2</f>
        <v>0</v>
      </c>
      <c r="L11" s="134">
        <f t="shared" si="4"/>
        <v>0</v>
      </c>
      <c r="M11" s="134">
        <f t="shared" si="4"/>
        <v>0</v>
      </c>
      <c r="N11" s="134">
        <f t="shared" si="4"/>
        <v>0</v>
      </c>
      <c r="O11" s="134">
        <f>+F11/L2</f>
        <v>296.05263157894734</v>
      </c>
      <c r="P11" s="134">
        <f>+G11/L2</f>
        <v>0</v>
      </c>
      <c r="Q11" s="46">
        <f t="shared" si="2"/>
        <v>296.05263157894734</v>
      </c>
      <c r="R11" s="135">
        <f t="shared" si="0"/>
        <v>8.3600000000000012</v>
      </c>
      <c r="W11" s="50">
        <f>SUM(W7:W10)</f>
        <v>31304</v>
      </c>
      <c r="X11" s="50">
        <f>SUM(X7:X10)</f>
        <v>25209.356509607351</v>
      </c>
      <c r="Y11" s="4" t="s">
        <v>128</v>
      </c>
    </row>
    <row r="12" spans="1:27">
      <c r="A12" s="132" t="s">
        <v>135</v>
      </c>
      <c r="B12" s="132">
        <v>1457</v>
      </c>
      <c r="C12" s="132"/>
      <c r="D12" s="132"/>
      <c r="E12" s="132">
        <v>1404</v>
      </c>
      <c r="F12" s="137">
        <v>911</v>
      </c>
      <c r="G12" s="132"/>
      <c r="H12" s="133">
        <f t="shared" si="1"/>
        <v>3772</v>
      </c>
      <c r="J12" s="132" t="s">
        <v>135</v>
      </c>
      <c r="K12" s="134">
        <f>+B12/L2</f>
        <v>1917.1052631578948</v>
      </c>
      <c r="L12" s="134">
        <f t="shared" si="4"/>
        <v>0</v>
      </c>
      <c r="M12" s="134">
        <f t="shared" si="4"/>
        <v>0</v>
      </c>
      <c r="N12" s="134">
        <f t="shared" si="4"/>
        <v>4011.4285714285716</v>
      </c>
      <c r="O12" s="134">
        <f>+F12/L2</f>
        <v>1198.6842105263158</v>
      </c>
      <c r="P12" s="134">
        <f>+G12/L2</f>
        <v>0</v>
      </c>
      <c r="Q12" s="46">
        <f t="shared" si="2"/>
        <v>7127.2180451127824</v>
      </c>
      <c r="R12" s="135">
        <f t="shared" si="0"/>
        <v>6.0215640560384838</v>
      </c>
      <c r="W12" s="4" t="s">
        <v>136</v>
      </c>
      <c r="X12" s="50">
        <f>+W11-X11</f>
        <v>6094.6434903926493</v>
      </c>
      <c r="Y12" s="4" t="s">
        <v>128</v>
      </c>
    </row>
    <row r="13" spans="1:27">
      <c r="A13" s="136" t="s">
        <v>137</v>
      </c>
      <c r="B13" s="136">
        <v>6979</v>
      </c>
      <c r="C13" s="136">
        <v>63058</v>
      </c>
      <c r="D13" s="136">
        <v>9420</v>
      </c>
      <c r="E13" s="136">
        <v>40120</v>
      </c>
      <c r="F13" s="138">
        <v>7282</v>
      </c>
      <c r="G13" s="136"/>
      <c r="H13" s="119">
        <f t="shared" si="1"/>
        <v>126859</v>
      </c>
      <c r="J13" s="136" t="s">
        <v>137</v>
      </c>
      <c r="K13" s="134">
        <f>+B13/L2</f>
        <v>9182.894736842105</v>
      </c>
      <c r="L13" s="134">
        <f>+C13/L2</f>
        <v>82971.052631578947</v>
      </c>
      <c r="M13" s="134">
        <f>+D13/L2</f>
        <v>12394.736842105263</v>
      </c>
      <c r="N13" s="134">
        <f>+E13/L2</f>
        <v>52789.473684210527</v>
      </c>
      <c r="O13" s="134">
        <f>+F13/L2</f>
        <v>9581.5789473684217</v>
      </c>
      <c r="P13" s="134">
        <f>+G13/L2</f>
        <v>0</v>
      </c>
      <c r="Q13" s="46">
        <f t="shared" si="2"/>
        <v>166919.73684210528</v>
      </c>
      <c r="R13" s="135">
        <f t="shared" si="0"/>
        <v>24.090224895356258</v>
      </c>
    </row>
    <row r="14" spans="1:27">
      <c r="A14" s="139" t="s">
        <v>138</v>
      </c>
      <c r="B14" s="139">
        <v>259</v>
      </c>
      <c r="C14" s="139">
        <v>615</v>
      </c>
      <c r="D14" s="139">
        <v>982</v>
      </c>
      <c r="E14" s="132">
        <v>1600</v>
      </c>
      <c r="F14" s="137"/>
      <c r="G14" s="139"/>
      <c r="H14" s="133">
        <f t="shared" si="1"/>
        <v>3456</v>
      </c>
      <c r="J14" s="139" t="s">
        <v>138</v>
      </c>
      <c r="K14" s="134">
        <f>+B14/L2</f>
        <v>340.78947368421052</v>
      </c>
      <c r="L14" s="134">
        <f>+C14/35*100</f>
        <v>1757.1428571428573</v>
      </c>
      <c r="M14" s="134">
        <f>+D14/35*100</f>
        <v>2805.7142857142858</v>
      </c>
      <c r="N14" s="134">
        <f>+E14/35*100</f>
        <v>4571.4285714285716</v>
      </c>
      <c r="O14" s="134">
        <f>+F14/L2</f>
        <v>0</v>
      </c>
      <c r="P14" s="134">
        <f>+G14/L2</f>
        <v>0</v>
      </c>
      <c r="Q14" s="46">
        <f t="shared" si="2"/>
        <v>9475.0751879699237</v>
      </c>
      <c r="R14" s="135">
        <f t="shared" si="0"/>
        <v>2.6451505136150648</v>
      </c>
    </row>
    <row r="15" spans="1:27">
      <c r="A15" s="136" t="s">
        <v>43</v>
      </c>
      <c r="B15" s="136">
        <v>246571</v>
      </c>
      <c r="C15" s="136">
        <v>1350434</v>
      </c>
      <c r="D15" s="138"/>
      <c r="E15" s="138"/>
      <c r="F15" s="138"/>
      <c r="G15" s="136">
        <v>674817</v>
      </c>
      <c r="H15" s="119">
        <f t="shared" si="1"/>
        <v>2271822</v>
      </c>
      <c r="J15" s="136" t="s">
        <v>43</v>
      </c>
      <c r="K15" s="140">
        <f>+B15/L2</f>
        <v>324435.5263157895</v>
      </c>
      <c r="L15" s="140">
        <f>+C15/100*100</f>
        <v>1350434</v>
      </c>
      <c r="M15" s="140">
        <f>+D15/100*100</f>
        <v>0</v>
      </c>
      <c r="N15" s="140">
        <f>+E15/100*100</f>
        <v>0</v>
      </c>
      <c r="O15" s="140">
        <f>+F15/L2</f>
        <v>0</v>
      </c>
      <c r="P15" s="140">
        <f>+G15/100*100</f>
        <v>674817</v>
      </c>
      <c r="Q15" s="46">
        <f t="shared" si="2"/>
        <v>2349686.5263157897</v>
      </c>
      <c r="R15" s="135">
        <f t="shared" si="0"/>
        <v>16.475178525493792</v>
      </c>
    </row>
    <row r="16" spans="1:27">
      <c r="A16" s="141" t="s">
        <v>139</v>
      </c>
      <c r="B16" s="141">
        <v>54809</v>
      </c>
      <c r="C16" s="141">
        <v>31003</v>
      </c>
      <c r="D16" s="141">
        <v>42115</v>
      </c>
      <c r="E16" s="141">
        <v>11586</v>
      </c>
      <c r="F16" s="141">
        <v>17263</v>
      </c>
      <c r="G16" s="141"/>
      <c r="H16" s="142">
        <f t="shared" si="1"/>
        <v>156776</v>
      </c>
      <c r="J16" s="141" t="s">
        <v>139</v>
      </c>
      <c r="K16" s="143">
        <f>+B16/L2</f>
        <v>72117.105263157893</v>
      </c>
      <c r="L16" s="54">
        <f>+C16/L4</f>
        <v>86119.444444444453</v>
      </c>
      <c r="M16" s="54">
        <f>+D16/L4</f>
        <v>116986.11111111111</v>
      </c>
      <c r="N16" s="54">
        <f>+E16/L4</f>
        <v>32183.333333333336</v>
      </c>
      <c r="O16" s="143">
        <f>+F16/L2</f>
        <v>22714.473684210527</v>
      </c>
      <c r="P16" s="143">
        <f>+G16/L2</f>
        <v>0</v>
      </c>
      <c r="Q16" s="48">
        <f t="shared" si="2"/>
        <v>330120.4678362573</v>
      </c>
      <c r="R16" s="144">
        <f t="shared" si="0"/>
        <v>5.8746130244851251</v>
      </c>
    </row>
    <row r="17" spans="1:28" ht="16" thickBot="1">
      <c r="A17" s="145" t="s">
        <v>123</v>
      </c>
      <c r="B17" s="146">
        <v>4510857</v>
      </c>
      <c r="C17" s="146">
        <v>3693392</v>
      </c>
      <c r="D17" s="146">
        <v>2329942</v>
      </c>
      <c r="E17" s="146">
        <v>1527235</v>
      </c>
      <c r="F17" s="146">
        <v>407272</v>
      </c>
      <c r="G17" s="146"/>
      <c r="H17" s="147">
        <f>SUM(H6:H16)</f>
        <v>13130197</v>
      </c>
      <c r="K17" s="50">
        <f>SUM(K6:K16)</f>
        <v>5920476.3157894742</v>
      </c>
      <c r="L17" s="50">
        <f t="shared" ref="L17:P17" si="5">SUM(L6:L16)</f>
        <v>7616694.2130325818</v>
      </c>
      <c r="M17" s="50">
        <f t="shared" si="5"/>
        <v>6363488.3166248957</v>
      </c>
      <c r="N17" s="50">
        <f t="shared" si="5"/>
        <v>4097996.4536340851</v>
      </c>
      <c r="O17" s="50">
        <f t="shared" si="5"/>
        <v>535884.21052631573</v>
      </c>
      <c r="P17" s="50">
        <f t="shared" si="5"/>
        <v>674817</v>
      </c>
      <c r="Q17" s="50">
        <f>SUM(Q6:Q16)</f>
        <v>25209356.509607349</v>
      </c>
      <c r="R17" s="148">
        <f t="shared" si="0"/>
        <v>17.920869492556385</v>
      </c>
      <c r="T17" s="46">
        <f>SUM(K17:P17)</f>
        <v>25209356.509607352</v>
      </c>
    </row>
    <row r="18" spans="1:28">
      <c r="A18" s="400" t="s">
        <v>140</v>
      </c>
      <c r="B18" s="400"/>
      <c r="C18" s="400"/>
      <c r="D18" s="400"/>
      <c r="E18" s="400"/>
      <c r="F18" s="400"/>
      <c r="G18" s="400"/>
      <c r="H18" s="400"/>
      <c r="K18" s="400" t="s">
        <v>141</v>
      </c>
      <c r="L18" s="400"/>
      <c r="M18" s="400"/>
      <c r="N18" s="400"/>
      <c r="O18" s="400"/>
      <c r="P18" s="400"/>
      <c r="Q18" s="400"/>
      <c r="R18" s="400"/>
    </row>
    <row r="19" spans="1:28">
      <c r="A19" s="132" t="s">
        <v>124</v>
      </c>
      <c r="B19" s="132">
        <v>90435135</v>
      </c>
      <c r="C19" s="132">
        <v>101271589</v>
      </c>
      <c r="D19" s="132">
        <v>105341594</v>
      </c>
      <c r="E19" s="132">
        <v>64117252</v>
      </c>
      <c r="F19" s="132">
        <v>9097126</v>
      </c>
      <c r="G19" s="132"/>
      <c r="H19" s="133">
        <f>SUM(B19:G19)</f>
        <v>370262696</v>
      </c>
      <c r="J19" s="132" t="s">
        <v>124</v>
      </c>
      <c r="K19" s="149">
        <f t="shared" ref="K19:K28" si="6">IFERROR(B19/K6,0)</f>
        <v>18.719107211480718</v>
      </c>
      <c r="L19" s="149">
        <f t="shared" ref="L19:L28" si="7">IFERROR(C19/L6,0)</f>
        <v>18.944328040617957</v>
      </c>
      <c r="M19" s="149">
        <f t="shared" ref="M19:M28" si="8">IFERROR(D19/M6,0)</f>
        <v>19.3173806830135</v>
      </c>
      <c r="N19" s="149">
        <f t="shared" ref="N19:N28" si="9">IFERROR(E19/N6,0)</f>
        <v>17.600848785978013</v>
      </c>
      <c r="O19" s="149">
        <f t="shared" ref="O19:O28" si="10">IFERROR(F19/O6,0)</f>
        <v>23.41967440568537</v>
      </c>
      <c r="P19" s="149">
        <f t="shared" ref="P19:P28" si="11">IFERROR(G19/P6,0)</f>
        <v>0</v>
      </c>
      <c r="Q19" s="150">
        <f t="shared" ref="Q19:Q28" si="12">IFERROR(H19/Q6,0)</f>
        <v>18.831953579377284</v>
      </c>
    </row>
    <row r="20" spans="1:28">
      <c r="A20" s="136" t="s">
        <v>127</v>
      </c>
      <c r="B20" s="136">
        <v>6201929</v>
      </c>
      <c r="C20" s="136">
        <v>9372382</v>
      </c>
      <c r="D20" s="136">
        <v>6387434</v>
      </c>
      <c r="E20" s="136">
        <v>4027501</v>
      </c>
      <c r="F20" s="136">
        <v>2382173</v>
      </c>
      <c r="G20" s="136"/>
      <c r="H20" s="119">
        <f t="shared" ref="H20:H29" si="13">SUM(B20:G20)</f>
        <v>28371419</v>
      </c>
      <c r="J20" s="136" t="s">
        <v>127</v>
      </c>
      <c r="K20" s="151">
        <f t="shared" si="6"/>
        <v>14.588663998687675</v>
      </c>
      <c r="L20" s="151">
        <f t="shared" si="7"/>
        <v>16.865733851859996</v>
      </c>
      <c r="M20" s="151">
        <f t="shared" si="8"/>
        <v>15.901555526357646</v>
      </c>
      <c r="N20" s="151">
        <f t="shared" si="9"/>
        <v>16.825069451697129</v>
      </c>
      <c r="O20" s="151">
        <f t="shared" si="10"/>
        <v>20.959879134491821</v>
      </c>
      <c r="P20" s="151">
        <f t="shared" si="11"/>
        <v>0</v>
      </c>
      <c r="Q20" s="152">
        <f t="shared" si="12"/>
        <v>16.347311651763238</v>
      </c>
    </row>
    <row r="21" spans="1:28">
      <c r="A21" s="132" t="s">
        <v>129</v>
      </c>
      <c r="B21" s="132">
        <v>1312907</v>
      </c>
      <c r="C21" s="132">
        <v>535011</v>
      </c>
      <c r="D21" s="132">
        <v>2198223</v>
      </c>
      <c r="E21" s="132">
        <v>347397</v>
      </c>
      <c r="F21" s="137"/>
      <c r="G21" s="132"/>
      <c r="H21" s="133">
        <f t="shared" si="13"/>
        <v>4393538</v>
      </c>
      <c r="J21" s="132" t="s">
        <v>129</v>
      </c>
      <c r="K21" s="149">
        <f t="shared" si="6"/>
        <v>7.993601653501675</v>
      </c>
      <c r="L21" s="149">
        <f t="shared" si="7"/>
        <v>8.3353079153503256</v>
      </c>
      <c r="M21" s="149">
        <f t="shared" si="8"/>
        <v>7.5535262057709014</v>
      </c>
      <c r="N21" s="149">
        <f t="shared" si="9"/>
        <v>7.7371269487750558</v>
      </c>
      <c r="O21" s="153">
        <f t="shared" si="10"/>
        <v>0</v>
      </c>
      <c r="P21" s="149">
        <f t="shared" si="11"/>
        <v>0</v>
      </c>
      <c r="Q21" s="150">
        <f t="shared" si="12"/>
        <v>7.7851257617567793</v>
      </c>
    </row>
    <row r="22" spans="1:28" ht="18.75" customHeight="1">
      <c r="A22" s="136" t="s">
        <v>131</v>
      </c>
      <c r="B22" s="136">
        <v>586316</v>
      </c>
      <c r="C22" s="136">
        <v>1596785</v>
      </c>
      <c r="D22" s="136">
        <v>1024141</v>
      </c>
      <c r="E22" s="136">
        <v>788251</v>
      </c>
      <c r="F22" s="138"/>
      <c r="G22" s="136"/>
      <c r="H22" s="119">
        <f t="shared" si="13"/>
        <v>3995493</v>
      </c>
      <c r="J22" s="136" t="s">
        <v>131</v>
      </c>
      <c r="K22" s="151">
        <f t="shared" si="6"/>
        <v>6.4504011233190024</v>
      </c>
      <c r="L22" s="151">
        <f t="shared" si="7"/>
        <v>12.304382122723769</v>
      </c>
      <c r="M22" s="151">
        <f t="shared" si="8"/>
        <v>11.993207291329606</v>
      </c>
      <c r="N22" s="151">
        <f t="shared" si="9"/>
        <v>10.195213750850918</v>
      </c>
      <c r="O22" s="154">
        <f t="shared" si="10"/>
        <v>0</v>
      </c>
      <c r="P22" s="151">
        <f t="shared" si="11"/>
        <v>0</v>
      </c>
      <c r="Q22" s="152">
        <f t="shared" si="12"/>
        <v>10.421785096510254</v>
      </c>
    </row>
    <row r="23" spans="1:28">
      <c r="A23" s="132" t="s">
        <v>133</v>
      </c>
      <c r="B23" s="132">
        <v>8018</v>
      </c>
      <c r="C23" s="132"/>
      <c r="D23" s="132"/>
      <c r="E23" s="132"/>
      <c r="F23" s="132"/>
      <c r="G23" s="132"/>
      <c r="H23" s="133">
        <f t="shared" si="13"/>
        <v>8018</v>
      </c>
      <c r="J23" s="132" t="s">
        <v>133</v>
      </c>
      <c r="K23" s="149">
        <f t="shared" si="6"/>
        <v>7.5981047381546132</v>
      </c>
      <c r="L23" s="149">
        <f t="shared" si="7"/>
        <v>0</v>
      </c>
      <c r="M23" s="149">
        <f t="shared" si="8"/>
        <v>0</v>
      </c>
      <c r="N23" s="149">
        <f t="shared" si="9"/>
        <v>0</v>
      </c>
      <c r="O23" s="149">
        <f t="shared" si="10"/>
        <v>0</v>
      </c>
      <c r="P23" s="149">
        <f t="shared" si="11"/>
        <v>0</v>
      </c>
      <c r="Q23" s="150">
        <f t="shared" si="12"/>
        <v>7.5981047381546132</v>
      </c>
    </row>
    <row r="24" spans="1:28">
      <c r="A24" s="136" t="s">
        <v>42</v>
      </c>
      <c r="B24" s="136"/>
      <c r="C24" s="136"/>
      <c r="D24" s="136"/>
      <c r="E24" s="136"/>
      <c r="F24" s="136">
        <v>2475</v>
      </c>
      <c r="G24" s="136"/>
      <c r="H24" s="119">
        <f t="shared" si="13"/>
        <v>2475</v>
      </c>
      <c r="J24" s="136" t="s">
        <v>42</v>
      </c>
      <c r="K24" s="151">
        <f t="shared" si="6"/>
        <v>0</v>
      </c>
      <c r="L24" s="151">
        <f t="shared" si="7"/>
        <v>0</v>
      </c>
      <c r="M24" s="151">
        <f t="shared" si="8"/>
        <v>0</v>
      </c>
      <c r="N24" s="151">
        <f t="shared" si="9"/>
        <v>0</v>
      </c>
      <c r="O24" s="151">
        <f t="shared" si="10"/>
        <v>8.3600000000000012</v>
      </c>
      <c r="P24" s="151">
        <f t="shared" si="11"/>
        <v>0</v>
      </c>
      <c r="Q24" s="152">
        <f t="shared" si="12"/>
        <v>8.3600000000000012</v>
      </c>
    </row>
    <row r="25" spans="1:28">
      <c r="A25" s="132" t="s">
        <v>135</v>
      </c>
      <c r="B25" s="132">
        <v>10196</v>
      </c>
      <c r="C25" s="132"/>
      <c r="D25" s="132"/>
      <c r="E25" s="132">
        <v>21945</v>
      </c>
      <c r="F25" s="137">
        <v>10776</v>
      </c>
      <c r="G25" s="132"/>
      <c r="H25" s="133">
        <f t="shared" si="13"/>
        <v>42917</v>
      </c>
      <c r="J25" s="132" t="s">
        <v>135</v>
      </c>
      <c r="K25" s="149">
        <f t="shared" si="6"/>
        <v>5.3184351407000685</v>
      </c>
      <c r="L25" s="149">
        <f t="shared" si="7"/>
        <v>0</v>
      </c>
      <c r="M25" s="149">
        <f t="shared" si="8"/>
        <v>0</v>
      </c>
      <c r="N25" s="149">
        <f t="shared" si="9"/>
        <v>5.4706196581196576</v>
      </c>
      <c r="O25" s="153">
        <f t="shared" si="10"/>
        <v>8.9898572996706907</v>
      </c>
      <c r="P25" s="149">
        <f t="shared" si="11"/>
        <v>0</v>
      </c>
      <c r="Q25" s="150">
        <f t="shared" si="12"/>
        <v>6.0215640560384838</v>
      </c>
    </row>
    <row r="26" spans="1:28">
      <c r="A26" s="136" t="s">
        <v>137</v>
      </c>
      <c r="B26" s="136">
        <v>143115</v>
      </c>
      <c r="C26" s="136">
        <v>2437989</v>
      </c>
      <c r="D26" s="136">
        <v>264384</v>
      </c>
      <c r="E26" s="136">
        <v>1014180</v>
      </c>
      <c r="F26" s="138">
        <v>161466</v>
      </c>
      <c r="G26" s="136"/>
      <c r="H26" s="119">
        <f t="shared" si="13"/>
        <v>4021134</v>
      </c>
      <c r="J26" s="136" t="s">
        <v>137</v>
      </c>
      <c r="K26" s="151">
        <f t="shared" si="6"/>
        <v>15.584954864593781</v>
      </c>
      <c r="L26" s="151">
        <f t="shared" si="7"/>
        <v>29.383609375495574</v>
      </c>
      <c r="M26" s="151">
        <f t="shared" si="8"/>
        <v>21.330343949044586</v>
      </c>
      <c r="N26" s="151">
        <f t="shared" si="9"/>
        <v>19.211784646061815</v>
      </c>
      <c r="O26" s="154">
        <f t="shared" si="10"/>
        <v>16.851711068387804</v>
      </c>
      <c r="P26" s="151">
        <f t="shared" si="11"/>
        <v>0</v>
      </c>
      <c r="Q26" s="152">
        <f t="shared" si="12"/>
        <v>24.090224895356258</v>
      </c>
    </row>
    <row r="27" spans="1:28">
      <c r="A27" s="139" t="s">
        <v>138</v>
      </c>
      <c r="B27" s="139">
        <v>517</v>
      </c>
      <c r="C27" s="139">
        <v>3730</v>
      </c>
      <c r="D27" s="139">
        <v>7856</v>
      </c>
      <c r="E27" s="132">
        <v>12960</v>
      </c>
      <c r="F27" s="137"/>
      <c r="G27" s="139"/>
      <c r="H27" s="133">
        <f t="shared" si="13"/>
        <v>25063</v>
      </c>
      <c r="J27" s="139" t="s">
        <v>138</v>
      </c>
      <c r="K27" s="149">
        <f t="shared" si="6"/>
        <v>1.517065637065637</v>
      </c>
      <c r="L27" s="149">
        <f t="shared" si="7"/>
        <v>2.1227642276422762</v>
      </c>
      <c r="M27" s="149">
        <f t="shared" si="8"/>
        <v>2.8</v>
      </c>
      <c r="N27" s="149">
        <f t="shared" si="9"/>
        <v>2.835</v>
      </c>
      <c r="O27" s="153">
        <f t="shared" si="10"/>
        <v>0</v>
      </c>
      <c r="P27" s="149">
        <f t="shared" si="11"/>
        <v>0</v>
      </c>
      <c r="Q27" s="150">
        <f t="shared" si="12"/>
        <v>2.6451505136150648</v>
      </c>
    </row>
    <row r="28" spans="1:28">
      <c r="A28" s="136" t="s">
        <v>43</v>
      </c>
      <c r="B28" s="136">
        <v>4119221</v>
      </c>
      <c r="C28" s="136">
        <v>21038758</v>
      </c>
      <c r="D28" s="138"/>
      <c r="E28" s="138"/>
      <c r="F28" s="138"/>
      <c r="G28" s="136">
        <v>13553526</v>
      </c>
      <c r="H28" s="119">
        <f t="shared" si="13"/>
        <v>38711505</v>
      </c>
      <c r="J28" s="136" t="s">
        <v>43</v>
      </c>
      <c r="K28" s="151">
        <f t="shared" si="6"/>
        <v>12.696578105292186</v>
      </c>
      <c r="L28" s="151">
        <f t="shared" si="7"/>
        <v>15.579256742647178</v>
      </c>
      <c r="M28" s="154">
        <f t="shared" si="8"/>
        <v>0</v>
      </c>
      <c r="N28" s="154">
        <f t="shared" si="9"/>
        <v>0</v>
      </c>
      <c r="O28" s="154">
        <f t="shared" si="10"/>
        <v>0</v>
      </c>
      <c r="P28" s="154">
        <f t="shared" si="11"/>
        <v>20.084742974762047</v>
      </c>
      <c r="Q28" s="155">
        <f t="shared" si="12"/>
        <v>16.475178525493792</v>
      </c>
    </row>
    <row r="29" spans="1:28">
      <c r="A29" s="141" t="s">
        <v>139</v>
      </c>
      <c r="B29" s="141">
        <v>310504</v>
      </c>
      <c r="C29" s="141">
        <v>684938</v>
      </c>
      <c r="D29" s="141">
        <v>744317</v>
      </c>
      <c r="E29" s="141">
        <v>99395</v>
      </c>
      <c r="F29" s="141">
        <v>100176</v>
      </c>
      <c r="G29" s="141"/>
      <c r="H29" s="142">
        <f t="shared" si="13"/>
        <v>1939330</v>
      </c>
      <c r="J29" s="141" t="s">
        <v>139</v>
      </c>
      <c r="K29" s="156">
        <f>IFERROR(B29/K16,0)</f>
        <v>4.3055527376890659</v>
      </c>
      <c r="L29" s="156">
        <f>IFERROR(C29/L16,0)</f>
        <v>7.95334903073896</v>
      </c>
      <c r="M29" s="156">
        <f>IFERROR(D29/M16,0)</f>
        <v>6.3624390359729315</v>
      </c>
      <c r="N29" s="156">
        <f>IFERROR(E29/N16,0)</f>
        <v>3.0883997928534437</v>
      </c>
      <c r="O29" s="156">
        <f>IFERROR(F29/O16,0)</f>
        <v>4.41022765452123</v>
      </c>
      <c r="P29" s="156">
        <f>IFERROR(G28/P16,0)</f>
        <v>0</v>
      </c>
      <c r="Q29" s="157">
        <f>IFERROR(H29/Q16,0)</f>
        <v>5.8746130244851251</v>
      </c>
    </row>
    <row r="30" spans="1:28" ht="16" thickBot="1">
      <c r="A30" s="145" t="s">
        <v>123</v>
      </c>
      <c r="B30" s="147">
        <v>103357202</v>
      </c>
      <c r="C30" s="147">
        <v>136941182</v>
      </c>
      <c r="D30" s="147">
        <v>115967949</v>
      </c>
      <c r="E30" s="147">
        <v>70428881</v>
      </c>
      <c r="F30" s="147">
        <v>11754192</v>
      </c>
      <c r="G30" s="147">
        <f>SUM(G19:G29)</f>
        <v>13553526</v>
      </c>
      <c r="H30" s="147">
        <f>SUM(H19:H29)</f>
        <v>451773588</v>
      </c>
      <c r="J30" s="145" t="s">
        <v>123</v>
      </c>
      <c r="K30" s="158">
        <f>+B30/K17</f>
        <v>17.457582209112797</v>
      </c>
      <c r="L30" s="158">
        <f t="shared" ref="L30:Q30" si="14">+C30/L17</f>
        <v>17.979083598457468</v>
      </c>
      <c r="M30" s="158">
        <f t="shared" si="14"/>
        <v>18.223958814700513</v>
      </c>
      <c r="N30" s="158">
        <f t="shared" si="14"/>
        <v>17.18617421875609</v>
      </c>
      <c r="O30" s="158">
        <f t="shared" si="14"/>
        <v>21.934201025358977</v>
      </c>
      <c r="P30" s="158">
        <f t="shared" si="14"/>
        <v>20.084742974762047</v>
      </c>
      <c r="Q30" s="158">
        <f t="shared" si="14"/>
        <v>17.920869492556385</v>
      </c>
      <c r="Z30" s="344">
        <v>2022</v>
      </c>
      <c r="AA30" s="345"/>
      <c r="AB30" s="346"/>
    </row>
    <row r="31" spans="1:28">
      <c r="A31" s="400" t="s">
        <v>142</v>
      </c>
      <c r="B31" s="400"/>
      <c r="C31" s="400"/>
      <c r="D31" s="400"/>
      <c r="E31" s="400"/>
      <c r="F31" s="400"/>
      <c r="G31" s="400"/>
      <c r="H31" s="400"/>
      <c r="Z31" s="118" t="s">
        <v>40</v>
      </c>
      <c r="AA31" s="118" t="s">
        <v>41</v>
      </c>
      <c r="AB31" s="118" t="s">
        <v>18</v>
      </c>
    </row>
    <row r="32" spans="1:28">
      <c r="A32" s="132" t="s">
        <v>124</v>
      </c>
      <c r="B32" s="149">
        <f t="shared" ref="B32:H43" si="15">IFERROR(B19/B6,0)</f>
        <v>24.630404225632521</v>
      </c>
      <c r="C32" s="149">
        <f t="shared" si="15"/>
        <v>52.623133446160992</v>
      </c>
      <c r="D32" s="149">
        <f t="shared" si="15"/>
        <v>53.659390786148606</v>
      </c>
      <c r="E32" s="149">
        <f t="shared" si="15"/>
        <v>48.891246627716697</v>
      </c>
      <c r="F32" s="149">
        <f t="shared" si="15"/>
        <v>30.815361060112327</v>
      </c>
      <c r="G32" s="149">
        <f t="shared" si="15"/>
        <v>0</v>
      </c>
      <c r="H32" s="150">
        <f t="shared" si="15"/>
        <v>40.395456706119575</v>
      </c>
      <c r="Y32" t="s">
        <v>124</v>
      </c>
      <c r="Z32" s="46">
        <v>15356</v>
      </c>
      <c r="AA32" s="46">
        <v>4945</v>
      </c>
      <c r="AB32" s="46">
        <f>+AA32+Z32</f>
        <v>20301</v>
      </c>
    </row>
    <row r="33" spans="1:29">
      <c r="A33" s="136" t="s">
        <v>127</v>
      </c>
      <c r="B33" s="151">
        <f t="shared" si="15"/>
        <v>19.195610524589046</v>
      </c>
      <c r="C33" s="151">
        <f t="shared" si="15"/>
        <v>46.849260699611108</v>
      </c>
      <c r="D33" s="151">
        <f t="shared" si="15"/>
        <v>44.170987573215683</v>
      </c>
      <c r="E33" s="151">
        <f t="shared" si="15"/>
        <v>46.736304032492022</v>
      </c>
      <c r="F33" s="151">
        <f t="shared" si="15"/>
        <v>27.578788334857659</v>
      </c>
      <c r="G33" s="151">
        <f t="shared" si="15"/>
        <v>0</v>
      </c>
      <c r="H33" s="152">
        <f t="shared" si="15"/>
        <v>33.76327971781641</v>
      </c>
      <c r="J33" s="46">
        <f>+H30-H28</f>
        <v>413062083</v>
      </c>
      <c r="Y33" t="s">
        <v>130</v>
      </c>
      <c r="Z33" s="46">
        <v>1343</v>
      </c>
      <c r="AA33" s="46">
        <v>1100</v>
      </c>
      <c r="AB33" s="46">
        <f t="shared" ref="AB33:AB35" si="16">+AA33+Z33</f>
        <v>2443</v>
      </c>
    </row>
    <row r="34" spans="1:29">
      <c r="A34" s="132" t="s">
        <v>129</v>
      </c>
      <c r="B34" s="149">
        <f t="shared" si="15"/>
        <v>10.517896912502204</v>
      </c>
      <c r="C34" s="149">
        <f t="shared" si="15"/>
        <v>23.153633098195353</v>
      </c>
      <c r="D34" s="149">
        <f t="shared" si="15"/>
        <v>20.982017238252503</v>
      </c>
      <c r="E34" s="149">
        <f t="shared" si="15"/>
        <v>21.492019302152933</v>
      </c>
      <c r="F34" s="153">
        <f t="shared" si="15"/>
        <v>0</v>
      </c>
      <c r="G34" s="149">
        <f t="shared" si="15"/>
        <v>0</v>
      </c>
      <c r="H34" s="150">
        <f t="shared" si="15"/>
        <v>16.341116698405141</v>
      </c>
      <c r="Y34" t="s">
        <v>143</v>
      </c>
      <c r="Z34" s="46">
        <v>900</v>
      </c>
      <c r="AA34" s="46">
        <v>500</v>
      </c>
      <c r="AB34" s="46">
        <f t="shared" si="16"/>
        <v>1400</v>
      </c>
    </row>
    <row r="35" spans="1:29">
      <c r="A35" s="136" t="s">
        <v>131</v>
      </c>
      <c r="B35" s="151">
        <f t="shared" si="15"/>
        <v>8.4873698991039497</v>
      </c>
      <c r="C35" s="151">
        <f t="shared" si="15"/>
        <v>16.189976477268118</v>
      </c>
      <c r="D35" s="151">
        <f t="shared" si="15"/>
        <v>15.780535909644216</v>
      </c>
      <c r="E35" s="151">
        <f t="shared" si="15"/>
        <v>13.414754935330157</v>
      </c>
      <c r="F35" s="154">
        <f t="shared" si="15"/>
        <v>0</v>
      </c>
      <c r="G35" s="151">
        <f t="shared" si="15"/>
        <v>0</v>
      </c>
      <c r="H35" s="152">
        <f t="shared" si="15"/>
        <v>13.712875126987178</v>
      </c>
      <c r="Y35" t="s">
        <v>134</v>
      </c>
      <c r="Z35" s="46">
        <v>2500</v>
      </c>
      <c r="AA35" s="46">
        <v>400</v>
      </c>
      <c r="AB35" s="48">
        <f t="shared" si="16"/>
        <v>2900</v>
      </c>
    </row>
    <row r="36" spans="1:29">
      <c r="A36" s="132" t="s">
        <v>133</v>
      </c>
      <c r="B36" s="149">
        <f t="shared" si="15"/>
        <v>9.9975062344139651</v>
      </c>
      <c r="C36" s="149">
        <f t="shared" si="15"/>
        <v>0</v>
      </c>
      <c r="D36" s="149">
        <f t="shared" si="15"/>
        <v>0</v>
      </c>
      <c r="E36" s="149">
        <f t="shared" si="15"/>
        <v>0</v>
      </c>
      <c r="F36" s="149">
        <f t="shared" si="15"/>
        <v>0</v>
      </c>
      <c r="G36" s="149">
        <f t="shared" si="15"/>
        <v>0</v>
      </c>
      <c r="H36" s="150">
        <f t="shared" si="15"/>
        <v>9.9975062344139651</v>
      </c>
      <c r="L36" s="46">
        <f>+H17-H15</f>
        <v>10858375</v>
      </c>
      <c r="Z36" s="46"/>
      <c r="AA36" s="46"/>
      <c r="AB36" s="50">
        <f>SUM(AB32:AB35)</f>
        <v>27044</v>
      </c>
      <c r="AC36" s="4" t="s">
        <v>128</v>
      </c>
    </row>
    <row r="37" spans="1:29">
      <c r="A37" s="136" t="s">
        <v>42</v>
      </c>
      <c r="B37" s="151">
        <f t="shared" si="15"/>
        <v>0</v>
      </c>
      <c r="C37" s="151">
        <f t="shared" si="15"/>
        <v>0</v>
      </c>
      <c r="D37" s="151">
        <f t="shared" si="15"/>
        <v>0</v>
      </c>
      <c r="E37" s="151">
        <f t="shared" si="15"/>
        <v>0</v>
      </c>
      <c r="F37" s="151">
        <f t="shared" si="15"/>
        <v>11</v>
      </c>
      <c r="G37" s="151">
        <f t="shared" si="15"/>
        <v>0</v>
      </c>
      <c r="H37" s="152">
        <f t="shared" si="15"/>
        <v>11</v>
      </c>
      <c r="M37" s="46">
        <f>+K17+O17+P17</f>
        <v>7131177.5263157897</v>
      </c>
      <c r="Q37" s="6">
        <v>2021</v>
      </c>
      <c r="R37" s="6">
        <v>2022</v>
      </c>
      <c r="Z37" s="46"/>
      <c r="AA37" s="46"/>
    </row>
    <row r="38" spans="1:29">
      <c r="A38" s="132" t="s">
        <v>135</v>
      </c>
      <c r="B38" s="149">
        <f t="shared" si="15"/>
        <v>6.9979409746053536</v>
      </c>
      <c r="C38" s="149">
        <f t="shared" si="15"/>
        <v>0</v>
      </c>
      <c r="D38" s="149">
        <f t="shared" si="15"/>
        <v>0</v>
      </c>
      <c r="E38" s="149">
        <f t="shared" si="15"/>
        <v>15.630341880341881</v>
      </c>
      <c r="F38" s="153">
        <f t="shared" si="15"/>
        <v>11.828759604829857</v>
      </c>
      <c r="G38" s="149">
        <f t="shared" si="15"/>
        <v>0</v>
      </c>
      <c r="H38" s="150">
        <f t="shared" si="15"/>
        <v>11.377783669141039</v>
      </c>
      <c r="M38" s="46">
        <f>+L17+M17+N17</f>
        <v>18078178.983291563</v>
      </c>
      <c r="P38" s="2" t="s">
        <v>109</v>
      </c>
      <c r="Q38" s="46">
        <f>+Q17</f>
        <v>25209356.509607349</v>
      </c>
      <c r="R38" s="46">
        <f>+'2022'!Q17</f>
        <v>26645616.603174604</v>
      </c>
      <c r="S38" s="50">
        <f>SUM(Q38:R38)</f>
        <v>51854973.112781957</v>
      </c>
    </row>
    <row r="39" spans="1:29">
      <c r="A39" s="136" t="s">
        <v>137</v>
      </c>
      <c r="B39" s="151">
        <f t="shared" si="15"/>
        <v>20.506519558676029</v>
      </c>
      <c r="C39" s="151">
        <f t="shared" si="15"/>
        <v>38.662643915125756</v>
      </c>
      <c r="D39" s="151">
        <f t="shared" si="15"/>
        <v>28.066242038216561</v>
      </c>
      <c r="E39" s="151">
        <f t="shared" si="15"/>
        <v>25.278664007976072</v>
      </c>
      <c r="F39" s="154">
        <f t="shared" si="15"/>
        <v>22.173304037352377</v>
      </c>
      <c r="G39" s="151">
        <f t="shared" si="15"/>
        <v>0</v>
      </c>
      <c r="H39" s="152">
        <f t="shared" si="15"/>
        <v>31.697664335995082</v>
      </c>
      <c r="K39" s="46">
        <f>+SUM(K6:K14)+K16</f>
        <v>5596040.7894736845</v>
      </c>
      <c r="M39" s="46">
        <f>+D17+E17+C17</f>
        <v>7550569</v>
      </c>
      <c r="P39" s="10" t="s">
        <v>194</v>
      </c>
      <c r="Q39" s="48">
        <f>+H17</f>
        <v>13130197</v>
      </c>
      <c r="R39" s="48">
        <f>+'2022'!H17</f>
        <v>14682545</v>
      </c>
    </row>
    <row r="40" spans="1:29">
      <c r="A40" s="139" t="s">
        <v>138</v>
      </c>
      <c r="B40" s="149">
        <f t="shared" si="15"/>
        <v>1.9961389961389961</v>
      </c>
      <c r="C40" s="149">
        <f t="shared" si="15"/>
        <v>6.0650406504065044</v>
      </c>
      <c r="D40" s="149">
        <f t="shared" si="15"/>
        <v>8</v>
      </c>
      <c r="E40" s="149">
        <f t="shared" si="15"/>
        <v>8.1</v>
      </c>
      <c r="F40" s="153">
        <f t="shared" si="15"/>
        <v>0</v>
      </c>
      <c r="G40" s="149">
        <f t="shared" si="15"/>
        <v>0</v>
      </c>
      <c r="H40" s="150">
        <f t="shared" si="15"/>
        <v>7.2520254629629628</v>
      </c>
      <c r="K40" s="46">
        <f>+SUM(O6:O14)+O16</f>
        <v>535884.21052631573</v>
      </c>
      <c r="M40">
        <f>+M38/M39</f>
        <v>2.3942803493738767</v>
      </c>
      <c r="P40" s="3" t="s">
        <v>195</v>
      </c>
      <c r="Q40" s="50">
        <f>+Q38-Q39</f>
        <v>12079159.509607349</v>
      </c>
      <c r="R40" s="50">
        <f>+R38-R39</f>
        <v>11963071.603174604</v>
      </c>
      <c r="S40" s="50">
        <f>SUM(Q40:R40)</f>
        <v>24042231.112781953</v>
      </c>
    </row>
    <row r="41" spans="1:29">
      <c r="A41" s="136" t="s">
        <v>43</v>
      </c>
      <c r="B41" s="151">
        <f t="shared" si="15"/>
        <v>16.706023822752879</v>
      </c>
      <c r="C41" s="151">
        <f t="shared" si="15"/>
        <v>15.579256742647178</v>
      </c>
      <c r="D41" s="154">
        <f t="shared" si="15"/>
        <v>0</v>
      </c>
      <c r="E41" s="154">
        <f t="shared" si="15"/>
        <v>0</v>
      </c>
      <c r="F41" s="154">
        <f t="shared" si="15"/>
        <v>0</v>
      </c>
      <c r="G41" s="154">
        <f t="shared" si="15"/>
        <v>20.084742974762047</v>
      </c>
      <c r="H41" s="155">
        <f t="shared" si="15"/>
        <v>17.039849512857963</v>
      </c>
      <c r="K41" s="46">
        <f>+P17</f>
        <v>674817</v>
      </c>
      <c r="S41">
        <f>+S40/S38</f>
        <v>0.46364369065415018</v>
      </c>
    </row>
    <row r="42" spans="1:29">
      <c r="A42" s="141" t="s">
        <v>139</v>
      </c>
      <c r="B42" s="156">
        <f t="shared" si="15"/>
        <v>5.6652009706435074</v>
      </c>
      <c r="C42" s="156">
        <f t="shared" si="15"/>
        <v>22.092636196497114</v>
      </c>
      <c r="D42" s="156">
        <f t="shared" si="15"/>
        <v>17.673441766591477</v>
      </c>
      <c r="E42" s="156">
        <f t="shared" si="15"/>
        <v>8.578888313481789</v>
      </c>
      <c r="F42" s="156">
        <f t="shared" si="15"/>
        <v>5.8029311243700397</v>
      </c>
      <c r="G42" s="156">
        <f t="shared" si="15"/>
        <v>0</v>
      </c>
      <c r="H42" s="157">
        <f t="shared" si="15"/>
        <v>12.370069398377302</v>
      </c>
      <c r="K42" s="46">
        <f>(K39+K40)*0.38</f>
        <v>2330131.5</v>
      </c>
      <c r="M42" s="163">
        <f>900*M40</f>
        <v>2154.852314436489</v>
      </c>
    </row>
    <row r="43" spans="1:29" ht="16" thickBot="1">
      <c r="A43" s="145" t="s">
        <v>123</v>
      </c>
      <c r="B43" s="158">
        <f t="shared" si="15"/>
        <v>22.912985714244545</v>
      </c>
      <c r="C43" s="158">
        <f t="shared" si="15"/>
        <v>37.077348410350162</v>
      </c>
      <c r="D43" s="158">
        <f t="shared" si="15"/>
        <v>49.77289091316436</v>
      </c>
      <c r="E43" s="158">
        <f t="shared" si="15"/>
        <v>46.115287431207378</v>
      </c>
      <c r="F43" s="158">
        <f t="shared" si="15"/>
        <v>28.860790822840755</v>
      </c>
      <c r="G43" s="158">
        <f t="shared" si="15"/>
        <v>0</v>
      </c>
      <c r="H43" s="158">
        <f t="shared" si="15"/>
        <v>34.407220851294156</v>
      </c>
    </row>
    <row r="44" spans="1:29">
      <c r="K44">
        <f>+K42*6</f>
        <v>13980789</v>
      </c>
    </row>
    <row r="55" spans="13:19">
      <c r="M55">
        <v>900000</v>
      </c>
    </row>
    <row r="56" spans="13:19">
      <c r="M56">
        <f>+K17/M55</f>
        <v>6.5783070175438603</v>
      </c>
      <c r="O56">
        <f>+M56*10</f>
        <v>65.78307017543861</v>
      </c>
      <c r="P56">
        <v>14</v>
      </c>
      <c r="Q56">
        <f>+P56+O56</f>
        <v>79.78307017543861</v>
      </c>
      <c r="R56">
        <v>286</v>
      </c>
      <c r="S56">
        <f>+K17/R56</f>
        <v>20700.966139124037</v>
      </c>
    </row>
  </sheetData>
  <mergeCells count="7">
    <mergeCell ref="Z30:AB30"/>
    <mergeCell ref="A31:H31"/>
    <mergeCell ref="A4:H4"/>
    <mergeCell ref="M4:R4"/>
    <mergeCell ref="U5:X5"/>
    <mergeCell ref="A18:H18"/>
    <mergeCell ref="K18:R18"/>
  </mergeCells>
  <pageMargins left="0.7" right="0.7" top="0.75" bottom="0.75" header="0.3" footer="0.3"/>
  <pageSetup paperSize="9" orientation="portrait" r:id="rId1"/>
  <ignoredErrors>
    <ignoredError sqref="L13:N13 O15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06"/>
  <sheetViews>
    <sheetView showGridLines="0" zoomScale="115" zoomScaleNormal="115" workbookViewId="0">
      <selection activeCell="W32" sqref="W32"/>
    </sheetView>
  </sheetViews>
  <sheetFormatPr defaultRowHeight="15.5"/>
  <cols>
    <col min="1" max="1" width="22.25" customWidth="1"/>
    <col min="2" max="2" width="13.75" customWidth="1"/>
    <col min="3" max="4" width="11.33203125" bestFit="1" customWidth="1"/>
    <col min="5" max="5" width="10.33203125" bestFit="1" customWidth="1"/>
    <col min="6" max="6" width="9.33203125" bestFit="1" customWidth="1"/>
    <col min="7" max="7" width="10.33203125" bestFit="1" customWidth="1"/>
    <col min="8" max="8" width="9.83203125" bestFit="1" customWidth="1"/>
    <col min="9" max="9" width="13.75" customWidth="1"/>
    <col min="10" max="10" width="11.08203125" customWidth="1"/>
    <col min="11" max="11" width="9.5" bestFit="1" customWidth="1"/>
    <col min="12" max="12" width="10.33203125" bestFit="1" customWidth="1"/>
    <col min="13" max="14" width="11.75" customWidth="1"/>
    <col min="16" max="16" width="9.33203125" bestFit="1" customWidth="1"/>
    <col min="17" max="17" width="9.83203125" bestFit="1" customWidth="1"/>
    <col min="18" max="18" width="10.33203125" bestFit="1" customWidth="1"/>
    <col min="28" max="28" width="5.25" customWidth="1"/>
  </cols>
  <sheetData>
    <row r="1" spans="1:29">
      <c r="K1" s="4" t="s">
        <v>111</v>
      </c>
    </row>
    <row r="2" spans="1:29">
      <c r="K2" s="120" t="s">
        <v>112</v>
      </c>
      <c r="L2" s="121">
        <v>0.75</v>
      </c>
      <c r="T2" s="276"/>
      <c r="U2" s="276"/>
      <c r="V2" s="276"/>
      <c r="W2" s="276"/>
      <c r="X2" s="276"/>
      <c r="Y2" s="276"/>
      <c r="Z2" s="276"/>
      <c r="AA2" s="276"/>
      <c r="AB2" s="276"/>
      <c r="AC2" s="276"/>
    </row>
    <row r="3" spans="1:29" ht="16" thickBot="1">
      <c r="K3" s="122" t="s">
        <v>113</v>
      </c>
      <c r="L3" s="123">
        <v>1</v>
      </c>
      <c r="T3" s="276"/>
      <c r="U3" s="276"/>
      <c r="V3" s="276"/>
      <c r="W3" s="276"/>
      <c r="X3" s="276"/>
      <c r="Y3" s="276"/>
      <c r="Z3" s="276"/>
      <c r="AA3" s="276"/>
      <c r="AB3" s="276"/>
      <c r="AC3" s="276"/>
    </row>
    <row r="4" spans="1:29" ht="16.5" customHeight="1" thickBot="1">
      <c r="A4" s="400" t="s">
        <v>114</v>
      </c>
      <c r="B4" s="400"/>
      <c r="C4" s="400"/>
      <c r="D4" s="400"/>
      <c r="E4" s="400"/>
      <c r="F4" s="400"/>
      <c r="G4" s="400"/>
      <c r="H4" s="400"/>
      <c r="K4" s="125" t="s">
        <v>115</v>
      </c>
      <c r="L4" s="126">
        <v>0.36</v>
      </c>
      <c r="M4" s="401" t="s">
        <v>116</v>
      </c>
      <c r="N4" s="400"/>
      <c r="O4" s="400"/>
      <c r="P4" s="400"/>
      <c r="Q4" s="400"/>
      <c r="R4" s="400"/>
      <c r="T4" s="276"/>
      <c r="U4" s="276"/>
      <c r="V4" s="276"/>
      <c r="W4" s="276"/>
      <c r="X4" s="276"/>
      <c r="Y4" s="276"/>
      <c r="Z4" s="276"/>
      <c r="AA4" s="276"/>
      <c r="AB4" s="276"/>
      <c r="AC4" s="276"/>
    </row>
    <row r="5" spans="1:29" ht="23">
      <c r="A5" s="127"/>
      <c r="B5" s="128" t="s">
        <v>117</v>
      </c>
      <c r="C5" s="128" t="s">
        <v>118</v>
      </c>
      <c r="D5" s="128" t="s">
        <v>119</v>
      </c>
      <c r="E5" s="128" t="s">
        <v>120</v>
      </c>
      <c r="F5" s="128" t="s">
        <v>121</v>
      </c>
      <c r="G5" s="128" t="s">
        <v>122</v>
      </c>
      <c r="H5" s="128" t="s">
        <v>123</v>
      </c>
      <c r="K5" s="129" t="s">
        <v>117</v>
      </c>
      <c r="L5" s="128" t="s">
        <v>118</v>
      </c>
      <c r="M5" s="128" t="s">
        <v>119</v>
      </c>
      <c r="N5" s="128" t="s">
        <v>120</v>
      </c>
      <c r="O5" s="128" t="s">
        <v>121</v>
      </c>
      <c r="P5" s="128" t="s">
        <v>122</v>
      </c>
      <c r="Q5" s="130" t="s">
        <v>123</v>
      </c>
      <c r="R5" s="131" t="s">
        <v>110</v>
      </c>
      <c r="T5" s="276"/>
      <c r="U5" s="402"/>
      <c r="V5" s="402"/>
      <c r="W5" s="402"/>
      <c r="X5" s="276"/>
      <c r="Y5" s="276"/>
      <c r="Z5" s="276"/>
      <c r="AA5" s="276"/>
      <c r="AB5" s="276"/>
      <c r="AC5" s="276"/>
    </row>
    <row r="6" spans="1:29">
      <c r="A6" s="132" t="s">
        <v>124</v>
      </c>
      <c r="B6" s="132">
        <v>4389781</v>
      </c>
      <c r="C6" s="132">
        <v>1889992</v>
      </c>
      <c r="D6" s="132">
        <v>1485008</v>
      </c>
      <c r="E6" s="132">
        <v>1236294</v>
      </c>
      <c r="F6" s="132">
        <v>126553</v>
      </c>
      <c r="G6" s="132">
        <v>1734030</v>
      </c>
      <c r="H6" s="133">
        <f t="shared" ref="H6:H16" si="0">SUM(B6:G6)</f>
        <v>10861658</v>
      </c>
      <c r="J6" s="132" t="s">
        <v>144</v>
      </c>
      <c r="K6" s="134">
        <f>+B6/L2</f>
        <v>5853041.333333333</v>
      </c>
      <c r="L6" s="59">
        <f>+C6/L4</f>
        <v>5249977.777777778</v>
      </c>
      <c r="M6" s="59">
        <f>+D6/L4</f>
        <v>4125022.2222222225</v>
      </c>
      <c r="N6" s="59">
        <f>+E6/L4</f>
        <v>3434150</v>
      </c>
      <c r="O6" s="134">
        <f>+F6/L2</f>
        <v>168737.33333333334</v>
      </c>
      <c r="P6" s="134">
        <f>+G6/L2</f>
        <v>2312040</v>
      </c>
      <c r="Q6" s="46">
        <f>SUM(K6:P6)</f>
        <v>21142968.666666668</v>
      </c>
      <c r="R6" s="135">
        <f>+H19/Q6</f>
        <v>27.197948077490093</v>
      </c>
      <c r="T6" s="276"/>
      <c r="U6" s="277"/>
      <c r="V6" s="277"/>
      <c r="W6" s="277"/>
      <c r="X6" s="277"/>
      <c r="Y6" s="276"/>
      <c r="Z6" s="276"/>
      <c r="AA6" s="276"/>
      <c r="AB6" s="276"/>
      <c r="AC6" s="276"/>
    </row>
    <row r="7" spans="1:29">
      <c r="A7" s="136" t="s">
        <v>127</v>
      </c>
      <c r="B7" s="136">
        <v>521357</v>
      </c>
      <c r="C7" s="136">
        <v>204702</v>
      </c>
      <c r="D7" s="136">
        <v>134958</v>
      </c>
      <c r="E7" s="136">
        <v>89424</v>
      </c>
      <c r="F7" s="136">
        <v>534</v>
      </c>
      <c r="G7" s="136">
        <v>96163</v>
      </c>
      <c r="H7" s="119">
        <f t="shared" si="0"/>
        <v>1047138</v>
      </c>
      <c r="J7" s="136" t="s">
        <v>127</v>
      </c>
      <c r="K7" s="134">
        <f>+B7/L2</f>
        <v>695142.66666666663</v>
      </c>
      <c r="L7" s="59">
        <f>+C7/L4</f>
        <v>568616.66666666674</v>
      </c>
      <c r="M7" s="59">
        <f>+D7/L4</f>
        <v>374883.33333333337</v>
      </c>
      <c r="N7" s="59">
        <f>+E7/L4</f>
        <v>248400</v>
      </c>
      <c r="O7" s="134">
        <f>+F7/L2</f>
        <v>712</v>
      </c>
      <c r="P7" s="134">
        <f>+G7/L2</f>
        <v>128217.33333333333</v>
      </c>
      <c r="Q7" s="46">
        <f>SUM(K7:P7)</f>
        <v>2015972.0000000002</v>
      </c>
      <c r="R7" s="135">
        <f t="shared" ref="R7:R16" si="1">+H20/Q7</f>
        <v>19.202987938324537</v>
      </c>
      <c r="T7" s="276"/>
      <c r="U7" s="278"/>
      <c r="V7" s="278"/>
      <c r="W7" s="278"/>
      <c r="X7" s="278"/>
      <c r="Y7" s="279"/>
      <c r="Z7" s="276"/>
      <c r="AA7" s="278"/>
      <c r="AB7" s="276"/>
      <c r="AC7" s="276"/>
    </row>
    <row r="8" spans="1:29">
      <c r="A8" s="132" t="s">
        <v>129</v>
      </c>
      <c r="B8" s="132">
        <v>175516</v>
      </c>
      <c r="C8" s="132">
        <v>44599</v>
      </c>
      <c r="D8" s="132">
        <v>53302</v>
      </c>
      <c r="E8" s="132">
        <v>43308</v>
      </c>
      <c r="F8" s="137"/>
      <c r="G8" s="132">
        <v>11222</v>
      </c>
      <c r="H8" s="133">
        <f t="shared" si="0"/>
        <v>327947</v>
      </c>
      <c r="J8" s="132" t="s">
        <v>129</v>
      </c>
      <c r="K8" s="134">
        <f>+B8/L2</f>
        <v>234021.33333333334</v>
      </c>
      <c r="L8" s="59">
        <f>+C8/L4</f>
        <v>123886.11111111111</v>
      </c>
      <c r="M8" s="59">
        <f>+D8/L4</f>
        <v>148061.11111111112</v>
      </c>
      <c r="N8" s="59">
        <f>+E8/L4</f>
        <v>120300</v>
      </c>
      <c r="O8" s="134">
        <f>+F8/L2</f>
        <v>0</v>
      </c>
      <c r="P8" s="134">
        <f>+G8/L2</f>
        <v>14962.666666666666</v>
      </c>
      <c r="Q8" s="46">
        <f>SUM(K8:P8)</f>
        <v>641231.22222222213</v>
      </c>
      <c r="R8" s="135">
        <f t="shared" si="1"/>
        <v>14.556312413566888</v>
      </c>
      <c r="T8" s="276"/>
      <c r="U8" s="278"/>
      <c r="V8" s="278"/>
      <c r="W8" s="278"/>
      <c r="X8" s="278"/>
      <c r="Y8" s="279"/>
      <c r="Z8" s="276"/>
      <c r="AA8" s="278"/>
      <c r="AB8" s="276"/>
      <c r="AC8" s="276"/>
    </row>
    <row r="9" spans="1:29">
      <c r="A9" s="136" t="s">
        <v>131</v>
      </c>
      <c r="B9" s="136">
        <v>108958</v>
      </c>
      <c r="C9" s="136">
        <v>53211</v>
      </c>
      <c r="D9" s="136">
        <v>42672</v>
      </c>
      <c r="E9" s="136">
        <v>31984</v>
      </c>
      <c r="F9" s="138"/>
      <c r="G9" s="136">
        <v>49966</v>
      </c>
      <c r="H9" s="119">
        <f t="shared" si="0"/>
        <v>286791</v>
      </c>
      <c r="J9" s="136" t="s">
        <v>131</v>
      </c>
      <c r="K9" s="134">
        <f>+B9/L2</f>
        <v>145277.33333333334</v>
      </c>
      <c r="L9" s="134">
        <f>+C9/L2</f>
        <v>70948</v>
      </c>
      <c r="M9" s="134">
        <f>+D9/L2</f>
        <v>56896</v>
      </c>
      <c r="N9" s="134">
        <f>+E9/L2</f>
        <v>42645.333333333336</v>
      </c>
      <c r="O9" s="134">
        <f>+F9/L2</f>
        <v>0</v>
      </c>
      <c r="P9" s="134">
        <f>+G9/L2</f>
        <v>66621.333333333328</v>
      </c>
      <c r="Q9" s="46">
        <f t="shared" ref="Q9:Q15" si="2">SUM(K9:P9)</f>
        <v>382388</v>
      </c>
      <c r="R9" s="135">
        <f t="shared" si="1"/>
        <v>10.312467964475873</v>
      </c>
      <c r="T9" s="276"/>
      <c r="U9" s="278"/>
      <c r="V9" s="278"/>
      <c r="W9" s="278"/>
      <c r="X9" s="278"/>
      <c r="Y9" s="279"/>
      <c r="Z9" s="276"/>
      <c r="AA9" s="278"/>
      <c r="AB9" s="276"/>
      <c r="AC9" s="276"/>
    </row>
    <row r="10" spans="1:29">
      <c r="A10" s="132" t="s">
        <v>133</v>
      </c>
      <c r="B10" s="132"/>
      <c r="C10" s="132"/>
      <c r="D10" s="132"/>
      <c r="E10" s="132"/>
      <c r="F10" s="132"/>
      <c r="G10" s="132">
        <v>49</v>
      </c>
      <c r="H10" s="133">
        <f t="shared" si="0"/>
        <v>49</v>
      </c>
      <c r="J10" s="132" t="s">
        <v>133</v>
      </c>
      <c r="K10" s="134">
        <f>+B10/L2</f>
        <v>0</v>
      </c>
      <c r="L10" s="134">
        <f t="shared" ref="L10:N12" si="3">+C10/35*100</f>
        <v>0</v>
      </c>
      <c r="M10" s="134">
        <f t="shared" si="3"/>
        <v>0</v>
      </c>
      <c r="N10" s="134">
        <f t="shared" si="3"/>
        <v>0</v>
      </c>
      <c r="O10" s="134">
        <f>+F10/L2</f>
        <v>0</v>
      </c>
      <c r="P10" s="134">
        <f>+G10/L2</f>
        <v>65.333333333333329</v>
      </c>
      <c r="Q10" s="46">
        <f t="shared" si="2"/>
        <v>65.333333333333329</v>
      </c>
      <c r="R10" s="135">
        <f t="shared" si="1"/>
        <v>7.5000000000000009</v>
      </c>
      <c r="T10" s="276"/>
      <c r="U10" s="278"/>
      <c r="V10" s="278"/>
      <c r="W10" s="278"/>
      <c r="X10" s="278"/>
      <c r="Y10" s="279"/>
      <c r="Z10" s="276"/>
      <c r="AA10" s="278"/>
      <c r="AB10" s="276"/>
      <c r="AC10" s="276"/>
    </row>
    <row r="11" spans="1:29">
      <c r="A11" s="136" t="s">
        <v>42</v>
      </c>
      <c r="B11" s="136"/>
      <c r="C11" s="136"/>
      <c r="D11" s="136"/>
      <c r="E11" s="136"/>
      <c r="F11" s="136">
        <v>165</v>
      </c>
      <c r="G11" s="136"/>
      <c r="H11" s="119">
        <f t="shared" si="0"/>
        <v>165</v>
      </c>
      <c r="J11" s="136" t="s">
        <v>42</v>
      </c>
      <c r="K11" s="134">
        <f>+B11/L2</f>
        <v>0</v>
      </c>
      <c r="L11" s="134">
        <f t="shared" si="3"/>
        <v>0</v>
      </c>
      <c r="M11" s="134">
        <f t="shared" si="3"/>
        <v>0</v>
      </c>
      <c r="N11" s="134">
        <f t="shared" si="3"/>
        <v>0</v>
      </c>
      <c r="O11" s="134">
        <f>+F11/L2</f>
        <v>220</v>
      </c>
      <c r="P11" s="134">
        <f>+G11/L2</f>
        <v>0</v>
      </c>
      <c r="Q11" s="46">
        <f t="shared" si="2"/>
        <v>220</v>
      </c>
      <c r="R11" s="135">
        <f t="shared" si="1"/>
        <v>8.25</v>
      </c>
      <c r="T11" s="276"/>
      <c r="U11" s="278"/>
      <c r="V11" s="278"/>
      <c r="W11" s="280"/>
      <c r="X11" s="280"/>
      <c r="Y11" s="279"/>
      <c r="Z11" s="276"/>
      <c r="AA11" s="276"/>
      <c r="AB11" s="276"/>
      <c r="AC11" s="276"/>
    </row>
    <row r="12" spans="1:29">
      <c r="A12" s="132" t="s">
        <v>135</v>
      </c>
      <c r="B12" s="132">
        <v>1028</v>
      </c>
      <c r="C12" s="132"/>
      <c r="D12" s="132">
        <v>725</v>
      </c>
      <c r="E12" s="132">
        <v>1208</v>
      </c>
      <c r="F12" s="137"/>
      <c r="G12" s="132">
        <v>10545</v>
      </c>
      <c r="H12" s="133">
        <f t="shared" si="0"/>
        <v>13506</v>
      </c>
      <c r="J12" s="132" t="s">
        <v>135</v>
      </c>
      <c r="K12" s="134">
        <f>+B12/L2</f>
        <v>1370.6666666666667</v>
      </c>
      <c r="L12" s="134">
        <f t="shared" si="3"/>
        <v>0</v>
      </c>
      <c r="M12" s="134">
        <f t="shared" si="3"/>
        <v>2071.4285714285716</v>
      </c>
      <c r="N12" s="134">
        <f t="shared" si="3"/>
        <v>3451.4285714285711</v>
      </c>
      <c r="O12" s="134">
        <f>+F12/L2</f>
        <v>0</v>
      </c>
      <c r="P12" s="134">
        <f>+G12/L2</f>
        <v>14060</v>
      </c>
      <c r="Q12" s="46">
        <f t="shared" si="2"/>
        <v>20953.523809523809</v>
      </c>
      <c r="R12" s="135">
        <f t="shared" si="1"/>
        <v>6.5640987764303764</v>
      </c>
      <c r="T12" s="276"/>
      <c r="U12" s="276"/>
      <c r="V12" s="276"/>
      <c r="W12" s="276"/>
      <c r="X12" s="280"/>
      <c r="Y12" s="279"/>
      <c r="Z12" s="276"/>
      <c r="AA12" s="276"/>
      <c r="AB12" s="276"/>
      <c r="AC12" s="276"/>
    </row>
    <row r="13" spans="1:29">
      <c r="A13" s="136" t="s">
        <v>137</v>
      </c>
      <c r="B13" s="136">
        <v>30352</v>
      </c>
      <c r="C13" s="136">
        <v>29450</v>
      </c>
      <c r="D13" s="136">
        <v>13244</v>
      </c>
      <c r="E13" s="136">
        <v>12128</v>
      </c>
      <c r="F13" s="138">
        <v>12636</v>
      </c>
      <c r="G13" s="136">
        <v>31722</v>
      </c>
      <c r="H13" s="119">
        <f t="shared" si="0"/>
        <v>129532</v>
      </c>
      <c r="J13" s="136" t="s">
        <v>137</v>
      </c>
      <c r="K13" s="134">
        <f>+B13/L2</f>
        <v>40469.333333333336</v>
      </c>
      <c r="L13" s="134">
        <f>+C13/L2</f>
        <v>39266.666666666664</v>
      </c>
      <c r="M13" s="134">
        <f>+D13/L2</f>
        <v>17658.666666666668</v>
      </c>
      <c r="N13" s="134">
        <f>+E13/L2</f>
        <v>16170.666666666666</v>
      </c>
      <c r="O13" s="134">
        <f>+F13/L2</f>
        <v>16848</v>
      </c>
      <c r="P13" s="134">
        <f>+G13/L2</f>
        <v>42296</v>
      </c>
      <c r="Q13" s="46">
        <f t="shared" si="2"/>
        <v>172709.33333333334</v>
      </c>
      <c r="R13" s="135">
        <f t="shared" si="1"/>
        <v>25.460048482228327</v>
      </c>
      <c r="T13" s="276"/>
      <c r="U13" s="276"/>
      <c r="V13" s="402"/>
      <c r="W13" s="402"/>
      <c r="X13" s="402"/>
      <c r="Y13" s="402"/>
      <c r="Z13" s="402"/>
      <c r="AA13" s="402"/>
      <c r="AB13" s="402"/>
      <c r="AC13" s="276"/>
    </row>
    <row r="14" spans="1:29">
      <c r="A14" s="139" t="s">
        <v>138</v>
      </c>
      <c r="B14" s="139"/>
      <c r="C14" s="139">
        <v>7254</v>
      </c>
      <c r="D14" s="139">
        <v>5592</v>
      </c>
      <c r="E14" s="132">
        <v>15512</v>
      </c>
      <c r="F14" s="137"/>
      <c r="G14" s="139">
        <v>11856</v>
      </c>
      <c r="H14" s="133">
        <f t="shared" si="0"/>
        <v>40214</v>
      </c>
      <c r="J14" s="139" t="s">
        <v>138</v>
      </c>
      <c r="K14" s="134">
        <f>+B14/L2</f>
        <v>0</v>
      </c>
      <c r="L14" s="134">
        <f>+C14/35*100</f>
        <v>20725.714285714286</v>
      </c>
      <c r="M14" s="134">
        <f>+D14/35*100</f>
        <v>15977.142857142857</v>
      </c>
      <c r="N14" s="134">
        <f>+E14/35*100</f>
        <v>44320</v>
      </c>
      <c r="O14" s="134">
        <f>+F14/L2</f>
        <v>0</v>
      </c>
      <c r="P14" s="134">
        <f>+G14/L2</f>
        <v>15808</v>
      </c>
      <c r="Q14" s="46">
        <f t="shared" si="2"/>
        <v>96830.857142857145</v>
      </c>
      <c r="R14" s="135">
        <f t="shared" si="1"/>
        <v>7.5197413457339453</v>
      </c>
      <c r="T14" s="276"/>
      <c r="U14" s="276"/>
      <c r="V14" s="276"/>
      <c r="W14" s="276"/>
      <c r="X14" s="276"/>
      <c r="Y14" s="276"/>
      <c r="Z14" s="281"/>
      <c r="AA14" s="278"/>
      <c r="AB14" s="276"/>
      <c r="AC14" s="276"/>
    </row>
    <row r="15" spans="1:29">
      <c r="A15" s="136" t="s">
        <v>43</v>
      </c>
      <c r="B15" s="136"/>
      <c r="C15" s="136">
        <v>847639</v>
      </c>
      <c r="D15" s="138"/>
      <c r="E15" s="138"/>
      <c r="F15" s="138"/>
      <c r="G15" s="136">
        <v>948248</v>
      </c>
      <c r="H15" s="119">
        <f t="shared" si="0"/>
        <v>1795887</v>
      </c>
      <c r="J15" s="136" t="s">
        <v>43</v>
      </c>
      <c r="K15" s="140">
        <f>+B15/L2</f>
        <v>0</v>
      </c>
      <c r="L15" s="140">
        <f>+C15/100*100</f>
        <v>847639</v>
      </c>
      <c r="M15" s="140">
        <f>+D15/100*100</f>
        <v>0</v>
      </c>
      <c r="N15" s="140">
        <f>+E15/100*100</f>
        <v>0</v>
      </c>
      <c r="O15" s="140">
        <f>+F15/L2</f>
        <v>0</v>
      </c>
      <c r="P15" s="140">
        <f>+G15/100*100</f>
        <v>948248</v>
      </c>
      <c r="Q15" s="46">
        <f t="shared" si="2"/>
        <v>1795887</v>
      </c>
      <c r="R15" s="135">
        <f t="shared" si="1"/>
        <v>20.533105924815981</v>
      </c>
      <c r="T15" s="276"/>
      <c r="U15" s="276"/>
      <c r="V15" s="276"/>
      <c r="W15" s="276"/>
      <c r="X15" s="276"/>
      <c r="Y15" s="276"/>
      <c r="Z15" s="281"/>
      <c r="AA15" s="278"/>
      <c r="AB15" s="276"/>
      <c r="AC15" s="276"/>
    </row>
    <row r="16" spans="1:29">
      <c r="A16" s="141" t="s">
        <v>139</v>
      </c>
      <c r="B16" s="141">
        <v>57645</v>
      </c>
      <c r="C16" s="141">
        <v>26057</v>
      </c>
      <c r="D16" s="141">
        <v>34402</v>
      </c>
      <c r="E16" s="141">
        <v>34281</v>
      </c>
      <c r="F16" s="141">
        <v>2137</v>
      </c>
      <c r="G16" s="141">
        <v>25136</v>
      </c>
      <c r="H16" s="142">
        <f t="shared" si="0"/>
        <v>179658</v>
      </c>
      <c r="J16" s="141" t="s">
        <v>139</v>
      </c>
      <c r="K16" s="143">
        <f>+B16/L2</f>
        <v>76860</v>
      </c>
      <c r="L16" s="54">
        <f>+C16/L4</f>
        <v>72380.555555555562</v>
      </c>
      <c r="M16" s="54">
        <f>+D16/L4</f>
        <v>95561.111111111109</v>
      </c>
      <c r="N16" s="54">
        <f>+E16/L4</f>
        <v>95225</v>
      </c>
      <c r="O16" s="143">
        <f>+F16/L2</f>
        <v>2849.3333333333335</v>
      </c>
      <c r="P16" s="143">
        <f>+G16/L2</f>
        <v>33514.666666666664</v>
      </c>
      <c r="Q16" s="48">
        <f>SUM(K16:P16)</f>
        <v>376390.66666666669</v>
      </c>
      <c r="R16" s="144">
        <f t="shared" si="1"/>
        <v>6.3936734173358882</v>
      </c>
      <c r="T16" s="276"/>
      <c r="U16" s="276"/>
      <c r="V16" s="276"/>
      <c r="W16" s="276"/>
      <c r="X16" s="276"/>
      <c r="Y16" s="276"/>
      <c r="Z16" s="279"/>
      <c r="AA16" s="280"/>
      <c r="AB16" s="276"/>
      <c r="AC16" s="276"/>
    </row>
    <row r="17" spans="1:29" ht="16" thickBot="1">
      <c r="A17" s="145" t="s">
        <v>123</v>
      </c>
      <c r="B17" s="146">
        <v>2731779</v>
      </c>
      <c r="C17" s="146">
        <v>3107487</v>
      </c>
      <c r="D17" s="146">
        <v>1769903</v>
      </c>
      <c r="E17" s="146">
        <v>1464139</v>
      </c>
      <c r="F17" s="146">
        <v>142025</v>
      </c>
      <c r="G17" s="146">
        <v>2918937</v>
      </c>
      <c r="H17" s="147">
        <f>SUM(H6:H16)</f>
        <v>14682545</v>
      </c>
      <c r="K17" s="50">
        <f>SUM(K6:K16)</f>
        <v>7046182.666666666</v>
      </c>
      <c r="L17" s="50">
        <f t="shared" ref="L17:P17" si="4">SUM(L6:L16)</f>
        <v>6993440.4920634935</v>
      </c>
      <c r="M17" s="50">
        <f t="shared" si="4"/>
        <v>4836131.0158730159</v>
      </c>
      <c r="N17" s="50">
        <f t="shared" si="4"/>
        <v>4004662.4285714286</v>
      </c>
      <c r="O17" s="50">
        <f t="shared" si="4"/>
        <v>189366.66666666669</v>
      </c>
      <c r="P17" s="50">
        <f t="shared" si="4"/>
        <v>3575833.3333333335</v>
      </c>
      <c r="Q17" s="50">
        <f>SUM(Q6:Q16)</f>
        <v>26645616.603174604</v>
      </c>
      <c r="R17" s="148">
        <f>+H30/Q17</f>
        <v>25.20422852290033</v>
      </c>
      <c r="T17" s="276"/>
      <c r="U17" s="276"/>
      <c r="V17" s="276"/>
      <c r="W17" s="276"/>
      <c r="X17" s="276"/>
      <c r="Y17" s="276"/>
      <c r="Z17" s="281"/>
      <c r="AA17" s="276"/>
      <c r="AB17" s="276"/>
      <c r="AC17" s="276"/>
    </row>
    <row r="18" spans="1:29">
      <c r="A18" s="400" t="s">
        <v>140</v>
      </c>
      <c r="B18" s="400"/>
      <c r="C18" s="400"/>
      <c r="D18" s="400"/>
      <c r="E18" s="400"/>
      <c r="F18" s="400"/>
      <c r="G18" s="400"/>
      <c r="H18" s="400"/>
      <c r="K18" s="400" t="s">
        <v>141</v>
      </c>
      <c r="L18" s="400"/>
      <c r="M18" s="400"/>
      <c r="N18" s="400"/>
      <c r="O18" s="400"/>
      <c r="P18" s="400"/>
      <c r="Q18" s="400"/>
      <c r="R18" s="400"/>
      <c r="T18" s="276"/>
      <c r="U18" s="276"/>
      <c r="V18" s="276"/>
      <c r="W18" s="276"/>
      <c r="X18" s="276"/>
      <c r="Y18" s="276"/>
      <c r="Z18" s="282"/>
      <c r="AA18" s="280"/>
      <c r="AB18" s="276"/>
      <c r="AC18" s="276"/>
    </row>
    <row r="19" spans="1:29">
      <c r="A19" s="132" t="s">
        <v>124</v>
      </c>
      <c r="B19" s="132">
        <v>162235019</v>
      </c>
      <c r="C19" s="132">
        <v>139633286</v>
      </c>
      <c r="D19" s="132">
        <v>116477588</v>
      </c>
      <c r="E19" s="132">
        <v>97101377</v>
      </c>
      <c r="F19" s="132">
        <v>3862731</v>
      </c>
      <c r="G19" s="132">
        <v>55735363</v>
      </c>
      <c r="H19" s="133">
        <f>SUM(B19:G19)</f>
        <v>575045364</v>
      </c>
      <c r="J19" s="132" t="s">
        <v>124</v>
      </c>
      <c r="K19" s="149">
        <f>IFERROR(B19/K6,0)</f>
        <v>27.718071641842727</v>
      </c>
      <c r="L19" s="149">
        <f t="shared" ref="L19:L29" si="5">IFERROR(C19/L6,0)</f>
        <v>26.596928960545863</v>
      </c>
      <c r="M19" s="149">
        <f t="shared" ref="M19:M29" si="6">IFERROR(D19/M6,0)</f>
        <v>28.23683891265232</v>
      </c>
      <c r="N19" s="149">
        <f t="shared" ref="N19:N29" si="7">IFERROR(E19/N6,0)</f>
        <v>28.275228804798857</v>
      </c>
      <c r="O19" s="149">
        <f t="shared" ref="O19:O29" si="8">IFERROR(F19/O6,0)</f>
        <v>22.891976089069402</v>
      </c>
      <c r="P19" s="149">
        <f t="shared" ref="P19:P29" si="9">IFERROR(G19/P6,0)</f>
        <v>24.106573848203318</v>
      </c>
      <c r="Q19" s="150">
        <f t="shared" ref="Q19:Q29" si="10">IFERROR(H19/Q6,0)</f>
        <v>27.197948077490093</v>
      </c>
      <c r="T19" s="276"/>
      <c r="U19" s="276"/>
      <c r="V19" s="276"/>
      <c r="W19" s="276"/>
      <c r="X19" s="276"/>
      <c r="Y19" s="276"/>
      <c r="Z19" s="276"/>
      <c r="AA19" s="276"/>
      <c r="AB19" s="276"/>
      <c r="AC19" s="276"/>
    </row>
    <row r="20" spans="1:29">
      <c r="A20" s="136" t="s">
        <v>127</v>
      </c>
      <c r="B20" s="136">
        <v>12045355</v>
      </c>
      <c r="C20" s="136">
        <v>11206840</v>
      </c>
      <c r="D20" s="136">
        <v>8173010</v>
      </c>
      <c r="E20" s="136">
        <v>5126447</v>
      </c>
      <c r="F20" s="136">
        <v>15101</v>
      </c>
      <c r="G20" s="136">
        <v>2145933</v>
      </c>
      <c r="H20" s="119">
        <f t="shared" ref="H20:H29" si="11">SUM(B20:G20)</f>
        <v>38712686</v>
      </c>
      <c r="J20" s="136" t="s">
        <v>127</v>
      </c>
      <c r="K20" s="151">
        <f t="shared" ref="K20:K29" si="12">IFERROR(B20/K7,0)</f>
        <v>17.327889047236347</v>
      </c>
      <c r="L20" s="151">
        <f t="shared" si="5"/>
        <v>19.708954480171172</v>
      </c>
      <c r="M20" s="151">
        <f t="shared" si="6"/>
        <v>21.801476014760144</v>
      </c>
      <c r="N20" s="151">
        <f t="shared" si="7"/>
        <v>20.637870370370372</v>
      </c>
      <c r="O20" s="151">
        <f t="shared" si="8"/>
        <v>21.209269662921347</v>
      </c>
      <c r="P20" s="151">
        <f t="shared" si="9"/>
        <v>16.736684067676759</v>
      </c>
      <c r="Q20" s="152">
        <f t="shared" si="10"/>
        <v>19.202987938324537</v>
      </c>
    </row>
    <row r="21" spans="1:29">
      <c r="A21" s="132" t="s">
        <v>129</v>
      </c>
      <c r="B21" s="132">
        <v>2801240</v>
      </c>
      <c r="C21" s="132">
        <v>1928434</v>
      </c>
      <c r="D21" s="132">
        <v>2357588</v>
      </c>
      <c r="E21" s="132">
        <v>2112186</v>
      </c>
      <c r="F21" s="137"/>
      <c r="G21" s="132">
        <v>134514</v>
      </c>
      <c r="H21" s="133">
        <f t="shared" si="11"/>
        <v>9333962</v>
      </c>
      <c r="J21" s="132" t="s">
        <v>129</v>
      </c>
      <c r="K21" s="149">
        <f t="shared" si="12"/>
        <v>11.970019827252216</v>
      </c>
      <c r="L21" s="149">
        <f t="shared" si="5"/>
        <v>15.566183995156843</v>
      </c>
      <c r="M21" s="149">
        <f t="shared" si="6"/>
        <v>15.923073805860941</v>
      </c>
      <c r="N21" s="149">
        <f t="shared" si="7"/>
        <v>17.557655860349126</v>
      </c>
      <c r="O21" s="153">
        <f t="shared" si="8"/>
        <v>0</v>
      </c>
      <c r="P21" s="149">
        <f t="shared" si="9"/>
        <v>8.9899750490108712</v>
      </c>
      <c r="Q21" s="150">
        <f t="shared" si="10"/>
        <v>14.556312413566888</v>
      </c>
    </row>
    <row r="22" spans="1:29">
      <c r="A22" s="136" t="s">
        <v>131</v>
      </c>
      <c r="B22" s="136">
        <v>1422917</v>
      </c>
      <c r="C22" s="136">
        <v>1033122</v>
      </c>
      <c r="D22" s="136">
        <v>676646</v>
      </c>
      <c r="E22" s="136">
        <v>459129</v>
      </c>
      <c r="F22" s="138"/>
      <c r="G22" s="136">
        <v>351550</v>
      </c>
      <c r="H22" s="119">
        <f t="shared" si="11"/>
        <v>3943364</v>
      </c>
      <c r="J22" s="136" t="s">
        <v>131</v>
      </c>
      <c r="K22" s="151">
        <f t="shared" si="12"/>
        <v>9.7944873253914349</v>
      </c>
      <c r="L22" s="151">
        <f t="shared" si="5"/>
        <v>14.561678976151548</v>
      </c>
      <c r="M22" s="151">
        <f t="shared" si="6"/>
        <v>11.892681383577052</v>
      </c>
      <c r="N22" s="151">
        <f t="shared" si="7"/>
        <v>10.766219047023512</v>
      </c>
      <c r="O22" s="154">
        <f t="shared" si="8"/>
        <v>0</v>
      </c>
      <c r="P22" s="151">
        <f t="shared" si="9"/>
        <v>5.2768382500100071</v>
      </c>
      <c r="Q22" s="152">
        <f t="shared" si="10"/>
        <v>10.312467964475873</v>
      </c>
      <c r="R22" s="26"/>
    </row>
    <row r="23" spans="1:29">
      <c r="A23" s="132" t="s">
        <v>133</v>
      </c>
      <c r="B23" s="132">
        <v>0</v>
      </c>
      <c r="C23" s="132"/>
      <c r="D23" s="132"/>
      <c r="E23" s="132"/>
      <c r="F23" s="132"/>
      <c r="G23" s="132">
        <v>490</v>
      </c>
      <c r="H23" s="133">
        <f t="shared" si="11"/>
        <v>490</v>
      </c>
      <c r="J23" s="132" t="s">
        <v>133</v>
      </c>
      <c r="K23" s="149">
        <f t="shared" si="12"/>
        <v>0</v>
      </c>
      <c r="L23" s="149">
        <f t="shared" si="5"/>
        <v>0</v>
      </c>
      <c r="M23" s="149">
        <f t="shared" si="6"/>
        <v>0</v>
      </c>
      <c r="N23" s="149">
        <f t="shared" si="7"/>
        <v>0</v>
      </c>
      <c r="O23" s="149">
        <f t="shared" si="8"/>
        <v>0</v>
      </c>
      <c r="P23" s="149">
        <f t="shared" si="9"/>
        <v>7.5000000000000009</v>
      </c>
      <c r="Q23" s="150">
        <f t="shared" si="10"/>
        <v>7.5000000000000009</v>
      </c>
    </row>
    <row r="24" spans="1:29">
      <c r="A24" s="136" t="s">
        <v>42</v>
      </c>
      <c r="B24" s="136">
        <v>0</v>
      </c>
      <c r="C24" s="136"/>
      <c r="D24" s="136"/>
      <c r="E24" s="136"/>
      <c r="F24" s="136">
        <v>1815</v>
      </c>
      <c r="G24" s="136"/>
      <c r="H24" s="119">
        <f t="shared" si="11"/>
        <v>1815</v>
      </c>
      <c r="J24" s="136" t="s">
        <v>42</v>
      </c>
      <c r="K24" s="151">
        <f t="shared" si="12"/>
        <v>0</v>
      </c>
      <c r="L24" s="151">
        <f t="shared" si="5"/>
        <v>0</v>
      </c>
      <c r="M24" s="151">
        <f t="shared" si="6"/>
        <v>0</v>
      </c>
      <c r="N24" s="151">
        <f t="shared" si="7"/>
        <v>0</v>
      </c>
      <c r="O24" s="151">
        <f t="shared" si="8"/>
        <v>8.25</v>
      </c>
      <c r="P24" s="151">
        <f t="shared" si="9"/>
        <v>0</v>
      </c>
      <c r="Q24" s="152">
        <f t="shared" si="10"/>
        <v>8.25</v>
      </c>
    </row>
    <row r="25" spans="1:29">
      <c r="A25" s="132" t="s">
        <v>135</v>
      </c>
      <c r="B25" s="132">
        <v>8956</v>
      </c>
      <c r="C25" s="132"/>
      <c r="D25" s="132">
        <v>7674</v>
      </c>
      <c r="E25" s="132">
        <v>36864</v>
      </c>
      <c r="F25" s="137"/>
      <c r="G25" s="132">
        <v>84047</v>
      </c>
      <c r="H25" s="133">
        <f t="shared" si="11"/>
        <v>137541</v>
      </c>
      <c r="J25" s="132" t="s">
        <v>135</v>
      </c>
      <c r="K25" s="149">
        <f t="shared" si="12"/>
        <v>6.5340466926070038</v>
      </c>
      <c r="L25" s="149">
        <f t="shared" si="5"/>
        <v>0</v>
      </c>
      <c r="M25" s="149">
        <f t="shared" si="6"/>
        <v>3.7046896551724138</v>
      </c>
      <c r="N25" s="149">
        <f t="shared" si="7"/>
        <v>10.680794701986756</v>
      </c>
      <c r="O25" s="153">
        <f t="shared" si="8"/>
        <v>0</v>
      </c>
      <c r="P25" s="149">
        <f t="shared" si="9"/>
        <v>5.9777382645803696</v>
      </c>
      <c r="Q25" s="150">
        <f t="shared" si="10"/>
        <v>6.5640987764303764</v>
      </c>
    </row>
    <row r="26" spans="1:29">
      <c r="A26" s="136" t="s">
        <v>137</v>
      </c>
      <c r="B26" s="136">
        <v>1032854</v>
      </c>
      <c r="C26" s="136">
        <v>1219970</v>
      </c>
      <c r="D26" s="136">
        <v>496707</v>
      </c>
      <c r="E26" s="136">
        <v>443904</v>
      </c>
      <c r="F26" s="138">
        <v>314364</v>
      </c>
      <c r="G26" s="136">
        <v>889389</v>
      </c>
      <c r="H26" s="119">
        <f t="shared" si="11"/>
        <v>4397188</v>
      </c>
      <c r="J26" s="136" t="s">
        <v>137</v>
      </c>
      <c r="K26" s="151">
        <f t="shared" si="12"/>
        <v>25.521893120716921</v>
      </c>
      <c r="L26" s="151">
        <f t="shared" si="5"/>
        <v>31.068845500848898</v>
      </c>
      <c r="M26" s="151">
        <f t="shared" si="6"/>
        <v>28.128227876774385</v>
      </c>
      <c r="N26" s="151">
        <f t="shared" si="7"/>
        <v>27.451187335092349</v>
      </c>
      <c r="O26" s="154">
        <f t="shared" si="8"/>
        <v>18.65883190883191</v>
      </c>
      <c r="P26" s="151">
        <f t="shared" si="9"/>
        <v>21.02773311897106</v>
      </c>
      <c r="Q26" s="152">
        <f t="shared" si="10"/>
        <v>25.460048482228327</v>
      </c>
      <c r="U26">
        <v>8</v>
      </c>
    </row>
    <row r="27" spans="1:29">
      <c r="A27" s="139" t="s">
        <v>138</v>
      </c>
      <c r="B27" s="139">
        <v>0</v>
      </c>
      <c r="C27" s="139">
        <v>161969</v>
      </c>
      <c r="D27" s="139">
        <v>95064</v>
      </c>
      <c r="E27" s="132">
        <v>257702</v>
      </c>
      <c r="F27" s="137"/>
      <c r="G27" s="139">
        <v>213408</v>
      </c>
      <c r="H27" s="133">
        <f t="shared" si="11"/>
        <v>728143</v>
      </c>
      <c r="J27" s="139" t="s">
        <v>138</v>
      </c>
      <c r="K27" s="149">
        <f t="shared" si="12"/>
        <v>0</v>
      </c>
      <c r="L27" s="149">
        <f t="shared" si="5"/>
        <v>7.8148814447201538</v>
      </c>
      <c r="M27" s="149">
        <f t="shared" si="6"/>
        <v>5.95</v>
      </c>
      <c r="N27" s="149">
        <f t="shared" si="7"/>
        <v>5.8145758122743683</v>
      </c>
      <c r="O27" s="153">
        <f t="shared" si="8"/>
        <v>0</v>
      </c>
      <c r="P27" s="149">
        <f t="shared" si="9"/>
        <v>13.5</v>
      </c>
      <c r="Q27" s="150">
        <f t="shared" si="10"/>
        <v>7.5197413457339453</v>
      </c>
      <c r="Z27">
        <v>35</v>
      </c>
      <c r="AA27">
        <v>2.65</v>
      </c>
      <c r="AB27">
        <f>+AA27*Z27</f>
        <v>92.75</v>
      </c>
    </row>
    <row r="28" spans="1:29">
      <c r="A28" s="136" t="s">
        <v>43</v>
      </c>
      <c r="B28" s="136">
        <v>0</v>
      </c>
      <c r="C28" s="136">
        <v>15552928</v>
      </c>
      <c r="D28" s="138"/>
      <c r="E28" s="138"/>
      <c r="F28" s="138"/>
      <c r="G28" s="136">
        <v>21322210</v>
      </c>
      <c r="H28" s="119">
        <f t="shared" si="11"/>
        <v>36875138</v>
      </c>
      <c r="J28" s="136" t="s">
        <v>43</v>
      </c>
      <c r="K28" s="151">
        <f t="shared" si="12"/>
        <v>0</v>
      </c>
      <c r="L28" s="151">
        <f t="shared" si="5"/>
        <v>18.348528088018604</v>
      </c>
      <c r="M28" s="154">
        <f t="shared" si="6"/>
        <v>0</v>
      </c>
      <c r="N28" s="154">
        <f t="shared" si="7"/>
        <v>0</v>
      </c>
      <c r="O28" s="154">
        <f t="shared" si="8"/>
        <v>0</v>
      </c>
      <c r="P28" s="154">
        <f t="shared" si="9"/>
        <v>22.485900312998286</v>
      </c>
      <c r="Q28" s="155">
        <f t="shared" si="10"/>
        <v>20.533105924815981</v>
      </c>
      <c r="Z28">
        <v>35</v>
      </c>
      <c r="AA28">
        <v>2.85</v>
      </c>
      <c r="AB28">
        <f t="shared" ref="AB28:AB34" si="13">+AA28*Z28</f>
        <v>99.75</v>
      </c>
    </row>
    <row r="29" spans="1:29">
      <c r="A29" s="141" t="s">
        <v>139</v>
      </c>
      <c r="B29" s="141">
        <v>476382</v>
      </c>
      <c r="C29" s="141">
        <v>739703</v>
      </c>
      <c r="D29" s="141">
        <v>629670</v>
      </c>
      <c r="E29" s="141">
        <v>376704</v>
      </c>
      <c r="F29" s="141">
        <v>53425</v>
      </c>
      <c r="G29" s="141">
        <v>130635</v>
      </c>
      <c r="H29" s="142">
        <f t="shared" si="11"/>
        <v>2406519</v>
      </c>
      <c r="J29" s="141" t="s">
        <v>139</v>
      </c>
      <c r="K29" s="156">
        <f t="shared" si="12"/>
        <v>6.1980483996877442</v>
      </c>
      <c r="L29" s="156">
        <f t="shared" si="5"/>
        <v>10.219636949763977</v>
      </c>
      <c r="M29" s="156">
        <f t="shared" si="6"/>
        <v>6.5891866751933028</v>
      </c>
      <c r="N29" s="156">
        <f t="shared" si="7"/>
        <v>3.9559359411919139</v>
      </c>
      <c r="O29" s="156">
        <f t="shared" si="8"/>
        <v>18.75</v>
      </c>
      <c r="P29" s="156">
        <f t="shared" si="9"/>
        <v>3.8978457192870786</v>
      </c>
      <c r="Q29" s="157">
        <f t="shared" si="10"/>
        <v>6.3936734173358882</v>
      </c>
      <c r="Z29">
        <v>35</v>
      </c>
      <c r="AA29">
        <v>2.65</v>
      </c>
      <c r="AB29">
        <f t="shared" si="13"/>
        <v>92.75</v>
      </c>
    </row>
    <row r="30" spans="1:29" ht="16" thickBot="1">
      <c r="A30" s="145" t="s">
        <v>123</v>
      </c>
      <c r="B30" s="146">
        <f>SUM(B19:B29)</f>
        <v>180022723</v>
      </c>
      <c r="C30" s="146">
        <f t="shared" ref="C30:G30" si="14">SUM(C19:C29)</f>
        <v>171476252</v>
      </c>
      <c r="D30" s="146">
        <f t="shared" si="14"/>
        <v>128913947</v>
      </c>
      <c r="E30" s="146">
        <f t="shared" si="14"/>
        <v>105914313</v>
      </c>
      <c r="F30" s="146">
        <f t="shared" si="14"/>
        <v>4247436</v>
      </c>
      <c r="G30" s="146">
        <f t="shared" si="14"/>
        <v>81007539</v>
      </c>
      <c r="H30" s="147">
        <f>SUM(H19:H29)</f>
        <v>671582210</v>
      </c>
      <c r="J30" s="145"/>
      <c r="K30" s="158">
        <f>+B30/K17</f>
        <v>25.548971906679686</v>
      </c>
      <c r="L30" s="158">
        <f t="shared" ref="L30:Q30" si="15">+C30/L17</f>
        <v>24.519584058032642</v>
      </c>
      <c r="M30" s="158">
        <f t="shared" si="15"/>
        <v>26.656421543767568</v>
      </c>
      <c r="N30" s="158">
        <f t="shared" si="15"/>
        <v>26.447750563031228</v>
      </c>
      <c r="O30" s="158">
        <f t="shared" si="15"/>
        <v>22.429691955641609</v>
      </c>
      <c r="P30" s="158">
        <f t="shared" si="15"/>
        <v>22.654170776042879</v>
      </c>
      <c r="Q30" s="158">
        <f t="shared" si="15"/>
        <v>25.20422852290033</v>
      </c>
      <c r="Z30">
        <v>35</v>
      </c>
      <c r="AA30">
        <v>2.65</v>
      </c>
      <c r="AB30">
        <f t="shared" si="13"/>
        <v>92.75</v>
      </c>
    </row>
    <row r="31" spans="1:29">
      <c r="A31" s="400" t="s">
        <v>142</v>
      </c>
      <c r="B31" s="400"/>
      <c r="C31" s="400"/>
      <c r="D31" s="400"/>
      <c r="E31" s="400"/>
      <c r="F31" s="400"/>
      <c r="G31" s="400"/>
      <c r="H31" s="400"/>
      <c r="Z31">
        <v>67</v>
      </c>
      <c r="AA31">
        <v>1.5</v>
      </c>
      <c r="AB31">
        <f t="shared" si="13"/>
        <v>100.5</v>
      </c>
    </row>
    <row r="32" spans="1:29">
      <c r="A32" s="132" t="s">
        <v>124</v>
      </c>
      <c r="B32" s="149">
        <f t="shared" ref="B32:G42" si="16">IFERROR(B19/B6,0)</f>
        <v>36.957428855790297</v>
      </c>
      <c r="C32" s="149">
        <f t="shared" si="16"/>
        <v>73.880358223738511</v>
      </c>
      <c r="D32" s="149">
        <f t="shared" si="16"/>
        <v>78.435663646256458</v>
      </c>
      <c r="E32" s="149">
        <f t="shared" si="16"/>
        <v>78.542302235552384</v>
      </c>
      <c r="F32" s="149">
        <f t="shared" si="16"/>
        <v>30.522634785425868</v>
      </c>
      <c r="G32" s="149">
        <f t="shared" si="16"/>
        <v>32.142098464271093</v>
      </c>
      <c r="H32" s="133"/>
      <c r="Z32">
        <v>35</v>
      </c>
      <c r="AA32">
        <v>2.65</v>
      </c>
      <c r="AB32">
        <f t="shared" si="13"/>
        <v>92.75</v>
      </c>
    </row>
    <row r="33" spans="1:28">
      <c r="A33" s="136" t="s">
        <v>127</v>
      </c>
      <c r="B33" s="151">
        <f t="shared" si="16"/>
        <v>23.103852062981794</v>
      </c>
      <c r="C33" s="151">
        <f t="shared" si="16"/>
        <v>54.747095778253268</v>
      </c>
      <c r="D33" s="151">
        <f t="shared" si="16"/>
        <v>60.559655596555963</v>
      </c>
      <c r="E33" s="151">
        <f t="shared" si="16"/>
        <v>57.327417695473251</v>
      </c>
      <c r="F33" s="151">
        <f t="shared" si="16"/>
        <v>28.279026217228463</v>
      </c>
      <c r="G33" s="151">
        <f t="shared" si="16"/>
        <v>22.315578756902344</v>
      </c>
      <c r="H33" s="119"/>
      <c r="Z33">
        <v>35</v>
      </c>
      <c r="AA33">
        <v>2.65</v>
      </c>
      <c r="AB33">
        <f t="shared" si="13"/>
        <v>92.75</v>
      </c>
    </row>
    <row r="34" spans="1:28">
      <c r="A34" s="132" t="s">
        <v>129</v>
      </c>
      <c r="B34" s="149">
        <f t="shared" si="16"/>
        <v>15.960026436336289</v>
      </c>
      <c r="C34" s="149">
        <f t="shared" si="16"/>
        <v>43.239399986546786</v>
      </c>
      <c r="D34" s="149">
        <f t="shared" si="16"/>
        <v>44.230760571835951</v>
      </c>
      <c r="E34" s="149">
        <f t="shared" si="16"/>
        <v>48.771266278747575</v>
      </c>
      <c r="F34" s="153">
        <f t="shared" si="16"/>
        <v>0</v>
      </c>
      <c r="G34" s="149">
        <f t="shared" si="16"/>
        <v>11.986633398681162</v>
      </c>
      <c r="H34" s="133"/>
      <c r="Z34">
        <v>35</v>
      </c>
      <c r="AA34">
        <v>2.65</v>
      </c>
      <c r="AB34">
        <f t="shared" si="13"/>
        <v>92.75</v>
      </c>
    </row>
    <row r="35" spans="1:28">
      <c r="A35" s="136" t="s">
        <v>131</v>
      </c>
      <c r="B35" s="151">
        <f t="shared" si="16"/>
        <v>13.059316433855248</v>
      </c>
      <c r="C35" s="151">
        <f t="shared" si="16"/>
        <v>19.415571968202062</v>
      </c>
      <c r="D35" s="151">
        <f t="shared" si="16"/>
        <v>15.856908511436071</v>
      </c>
      <c r="E35" s="151">
        <f t="shared" si="16"/>
        <v>14.354958729364682</v>
      </c>
      <c r="F35" s="154">
        <f t="shared" si="16"/>
        <v>0</v>
      </c>
      <c r="G35" s="151">
        <f t="shared" si="16"/>
        <v>7.0357843333466761</v>
      </c>
      <c r="H35" s="119"/>
    </row>
    <row r="36" spans="1:28">
      <c r="A36" s="132" t="s">
        <v>133</v>
      </c>
      <c r="B36" s="149">
        <f t="shared" si="16"/>
        <v>0</v>
      </c>
      <c r="C36" s="149">
        <f t="shared" si="16"/>
        <v>0</v>
      </c>
      <c r="D36" s="149">
        <f t="shared" si="16"/>
        <v>0</v>
      </c>
      <c r="E36" s="149">
        <f t="shared" si="16"/>
        <v>0</v>
      </c>
      <c r="F36" s="149">
        <f t="shared" si="16"/>
        <v>0</v>
      </c>
      <c r="G36" s="149">
        <f t="shared" si="16"/>
        <v>10</v>
      </c>
      <c r="H36" s="133"/>
    </row>
    <row r="37" spans="1:28">
      <c r="A37" s="136" t="s">
        <v>42</v>
      </c>
      <c r="B37" s="151">
        <f t="shared" si="16"/>
        <v>0</v>
      </c>
      <c r="C37" s="151">
        <f t="shared" si="16"/>
        <v>0</v>
      </c>
      <c r="D37" s="151">
        <f t="shared" si="16"/>
        <v>0</v>
      </c>
      <c r="E37" s="151">
        <f t="shared" si="16"/>
        <v>0</v>
      </c>
      <c r="F37" s="151">
        <f t="shared" si="16"/>
        <v>11</v>
      </c>
      <c r="G37" s="151">
        <f t="shared" si="16"/>
        <v>0</v>
      </c>
      <c r="H37" s="119"/>
      <c r="I37" s="135"/>
      <c r="J37" s="135"/>
      <c r="K37" s="135"/>
      <c r="L37" s="135"/>
      <c r="M37" s="135"/>
      <c r="N37" s="135"/>
      <c r="O37" s="135"/>
    </row>
    <row r="38" spans="1:28">
      <c r="A38" s="132" t="s">
        <v>135</v>
      </c>
      <c r="B38" s="149">
        <f t="shared" si="16"/>
        <v>8.7120622568093378</v>
      </c>
      <c r="C38" s="149">
        <f t="shared" si="16"/>
        <v>0</v>
      </c>
      <c r="D38" s="149">
        <f t="shared" si="16"/>
        <v>10.584827586206897</v>
      </c>
      <c r="E38" s="149">
        <f t="shared" si="16"/>
        <v>30.516556291390728</v>
      </c>
      <c r="F38" s="153">
        <f t="shared" si="16"/>
        <v>0</v>
      </c>
      <c r="G38" s="149">
        <f t="shared" si="16"/>
        <v>7.9703176861071601</v>
      </c>
      <c r="H38" s="133"/>
      <c r="I38" s="135"/>
      <c r="J38" s="135"/>
      <c r="K38" s="135"/>
      <c r="L38" s="135"/>
      <c r="M38" s="135"/>
      <c r="N38" s="135"/>
      <c r="O38" s="135"/>
    </row>
    <row r="39" spans="1:28">
      <c r="A39" s="136" t="s">
        <v>137</v>
      </c>
      <c r="B39" s="151">
        <f t="shared" si="16"/>
        <v>34.029190827622564</v>
      </c>
      <c r="C39" s="151">
        <f t="shared" si="16"/>
        <v>41.425127334465195</v>
      </c>
      <c r="D39" s="151">
        <f t="shared" si="16"/>
        <v>37.504303835699183</v>
      </c>
      <c r="E39" s="151">
        <f t="shared" si="16"/>
        <v>36.601583113456464</v>
      </c>
      <c r="F39" s="154">
        <f t="shared" si="16"/>
        <v>24.878442545109213</v>
      </c>
      <c r="G39" s="151">
        <f t="shared" si="16"/>
        <v>28.036977491961416</v>
      </c>
      <c r="H39" s="119"/>
      <c r="I39" s="135"/>
      <c r="J39" s="135"/>
      <c r="K39" s="135"/>
      <c r="L39" s="135"/>
      <c r="M39" s="135"/>
      <c r="N39" s="135"/>
      <c r="O39" s="135"/>
    </row>
    <row r="40" spans="1:28">
      <c r="A40" s="139" t="s">
        <v>138</v>
      </c>
      <c r="B40" s="149">
        <f t="shared" si="16"/>
        <v>0</v>
      </c>
      <c r="C40" s="149">
        <f t="shared" si="16"/>
        <v>22.328232699200441</v>
      </c>
      <c r="D40" s="149">
        <f t="shared" si="16"/>
        <v>17</v>
      </c>
      <c r="E40" s="149">
        <f t="shared" si="16"/>
        <v>16.613073749355337</v>
      </c>
      <c r="F40" s="153">
        <f t="shared" si="16"/>
        <v>0</v>
      </c>
      <c r="G40" s="149">
        <f t="shared" si="16"/>
        <v>18</v>
      </c>
      <c r="H40" s="133"/>
      <c r="I40" s="135"/>
      <c r="J40" s="135"/>
      <c r="K40" s="135"/>
      <c r="L40" s="135"/>
      <c r="M40" s="135"/>
      <c r="N40" s="135"/>
      <c r="O40" s="135"/>
    </row>
    <row r="41" spans="1:28">
      <c r="A41" s="136" t="s">
        <v>43</v>
      </c>
      <c r="B41" s="151">
        <f t="shared" si="16"/>
        <v>0</v>
      </c>
      <c r="C41" s="151">
        <f t="shared" si="16"/>
        <v>18.348528088018604</v>
      </c>
      <c r="D41" s="154">
        <f t="shared" si="16"/>
        <v>0</v>
      </c>
      <c r="E41" s="154">
        <f t="shared" si="16"/>
        <v>0</v>
      </c>
      <c r="F41" s="154">
        <f t="shared" si="16"/>
        <v>0</v>
      </c>
      <c r="G41" s="151">
        <f t="shared" si="16"/>
        <v>22.485900312998286</v>
      </c>
      <c r="H41" s="119"/>
      <c r="I41" s="135"/>
      <c r="J41" s="135"/>
      <c r="K41" s="135"/>
      <c r="L41" s="135"/>
      <c r="M41" s="135"/>
      <c r="N41" s="135"/>
      <c r="O41" s="135"/>
    </row>
    <row r="42" spans="1:28">
      <c r="A42" s="141" t="s">
        <v>139</v>
      </c>
      <c r="B42" s="156">
        <f t="shared" si="16"/>
        <v>8.2640645329169917</v>
      </c>
      <c r="C42" s="156">
        <f t="shared" si="16"/>
        <v>28.387880416011054</v>
      </c>
      <c r="D42" s="156">
        <f t="shared" si="16"/>
        <v>18.303296319981396</v>
      </c>
      <c r="E42" s="156">
        <f t="shared" si="16"/>
        <v>10.988710947755317</v>
      </c>
      <c r="F42" s="156">
        <f t="shared" si="16"/>
        <v>25</v>
      </c>
      <c r="G42" s="156">
        <f t="shared" si="16"/>
        <v>5.1971276257161048</v>
      </c>
      <c r="H42" s="142"/>
      <c r="I42" s="135"/>
      <c r="J42" s="135"/>
      <c r="K42" s="135"/>
      <c r="L42" s="135"/>
      <c r="M42" s="135"/>
    </row>
    <row r="43" spans="1:28" ht="16" thickBot="1">
      <c r="A43" s="145"/>
      <c r="B43" s="146"/>
      <c r="C43" s="146"/>
      <c r="D43" s="146"/>
      <c r="E43" s="146"/>
      <c r="F43" s="146"/>
      <c r="G43" s="146"/>
      <c r="H43" s="147"/>
      <c r="I43" s="135"/>
      <c r="J43" s="135"/>
      <c r="K43" s="135"/>
      <c r="L43" s="135"/>
      <c r="M43" s="135"/>
    </row>
    <row r="44" spans="1:28">
      <c r="I44" s="135"/>
      <c r="J44" s="135"/>
      <c r="K44" s="135"/>
      <c r="L44" s="135"/>
      <c r="M44" s="135"/>
    </row>
    <row r="45" spans="1:28">
      <c r="I45" s="135"/>
      <c r="J45" s="135"/>
      <c r="K45" s="135"/>
      <c r="L45" s="135"/>
      <c r="M45" s="135"/>
    </row>
    <row r="46" spans="1:28">
      <c r="I46" s="135"/>
      <c r="J46" s="135"/>
      <c r="K46" s="135"/>
      <c r="L46" s="135"/>
      <c r="M46" s="135"/>
    </row>
    <row r="47" spans="1:28">
      <c r="J47" s="135"/>
      <c r="K47" s="135"/>
      <c r="L47" s="135"/>
      <c r="M47" s="135"/>
    </row>
    <row r="71" spans="1:14">
      <c r="A71" t="s">
        <v>124</v>
      </c>
      <c r="B71" s="159" t="e">
        <f t="shared" ref="B71:G71" si="17">+L5*K19</f>
        <v>#VALUE!</v>
      </c>
      <c r="C71" s="159" t="e">
        <f t="shared" si="17"/>
        <v>#VALUE!</v>
      </c>
      <c r="D71" s="159" t="e">
        <f t="shared" si="17"/>
        <v>#VALUE!</v>
      </c>
      <c r="E71" s="159" t="e">
        <f t="shared" si="17"/>
        <v>#VALUE!</v>
      </c>
      <c r="F71" s="159" t="e">
        <f t="shared" si="17"/>
        <v>#VALUE!</v>
      </c>
      <c r="G71" s="159" t="e">
        <f t="shared" si="17"/>
        <v>#VALUE!</v>
      </c>
    </row>
    <row r="72" spans="1:14">
      <c r="A72" t="s">
        <v>127</v>
      </c>
      <c r="B72" s="159">
        <f t="shared" ref="B72:B81" si="18">+K7*K20</f>
        <v>12045355</v>
      </c>
      <c r="C72" s="159">
        <f t="shared" ref="C72:C81" si="19">+L7*L20</f>
        <v>11206840</v>
      </c>
      <c r="D72" s="159">
        <f t="shared" ref="D72:D81" si="20">+M7*M20</f>
        <v>8173010</v>
      </c>
      <c r="E72" s="159">
        <f t="shared" ref="E72:E81" si="21">+N7*N20</f>
        <v>5126447</v>
      </c>
      <c r="F72" s="159">
        <f t="shared" ref="F72:F81" si="22">+O7*O20</f>
        <v>15101</v>
      </c>
      <c r="G72" s="159">
        <f t="shared" ref="G72:G81" si="23">+P7*P20</f>
        <v>2145933</v>
      </c>
      <c r="I72" s="26" t="e">
        <f t="shared" ref="I72:I82" si="24">SUM(B71:H71)</f>
        <v>#VALUE!</v>
      </c>
    </row>
    <row r="73" spans="1:14">
      <c r="A73" t="s">
        <v>129</v>
      </c>
      <c r="B73" s="159">
        <f t="shared" si="18"/>
        <v>2801240</v>
      </c>
      <c r="C73" s="159">
        <f t="shared" si="19"/>
        <v>1928434</v>
      </c>
      <c r="D73" s="159">
        <f t="shared" si="20"/>
        <v>2357588</v>
      </c>
      <c r="E73" s="159">
        <f t="shared" si="21"/>
        <v>2112186</v>
      </c>
      <c r="F73" s="159">
        <f t="shared" si="22"/>
        <v>0</v>
      </c>
      <c r="G73" s="159">
        <f t="shared" si="23"/>
        <v>134514</v>
      </c>
      <c r="I73" s="26">
        <f t="shared" si="24"/>
        <v>38712686</v>
      </c>
      <c r="J73" s="135" t="e">
        <f>+I72/#REF!</f>
        <v>#VALUE!</v>
      </c>
      <c r="L73" t="s">
        <v>145</v>
      </c>
      <c r="M73" s="160">
        <v>7.33</v>
      </c>
      <c r="N73">
        <v>1</v>
      </c>
    </row>
    <row r="74" spans="1:14">
      <c r="A74" t="s">
        <v>131</v>
      </c>
      <c r="B74" s="159">
        <f t="shared" si="18"/>
        <v>1422917</v>
      </c>
      <c r="C74" s="159">
        <f t="shared" si="19"/>
        <v>1033122</v>
      </c>
      <c r="D74" s="159">
        <f t="shared" si="20"/>
        <v>676646</v>
      </c>
      <c r="E74" s="159">
        <f t="shared" si="21"/>
        <v>459129</v>
      </c>
      <c r="F74" s="159">
        <f t="shared" si="22"/>
        <v>0</v>
      </c>
      <c r="G74" s="159">
        <f t="shared" si="23"/>
        <v>351550</v>
      </c>
      <c r="I74" s="26">
        <f t="shared" si="24"/>
        <v>9333962</v>
      </c>
      <c r="J74" s="135">
        <f t="shared" ref="J74:J83" si="25">+I73/R7</f>
        <v>2015972.0000000005</v>
      </c>
      <c r="L74" t="s">
        <v>124</v>
      </c>
      <c r="M74" s="160" t="e">
        <f>+J73</f>
        <v>#VALUE!</v>
      </c>
      <c r="N74" s="135" t="e">
        <f>+M74/$M$73</f>
        <v>#VALUE!</v>
      </c>
    </row>
    <row r="75" spans="1:14">
      <c r="A75" t="s">
        <v>133</v>
      </c>
      <c r="B75" s="159">
        <f t="shared" si="18"/>
        <v>0</v>
      </c>
      <c r="C75" s="159">
        <f t="shared" si="19"/>
        <v>0</v>
      </c>
      <c r="D75" s="159">
        <f t="shared" si="20"/>
        <v>0</v>
      </c>
      <c r="E75" s="159">
        <f t="shared" si="21"/>
        <v>0</v>
      </c>
      <c r="F75" s="159">
        <f t="shared" si="22"/>
        <v>0</v>
      </c>
      <c r="G75" s="159">
        <f t="shared" si="23"/>
        <v>490</v>
      </c>
      <c r="I75" s="26">
        <f t="shared" si="24"/>
        <v>3943364</v>
      </c>
      <c r="J75" s="135">
        <f t="shared" si="25"/>
        <v>641231.22222222213</v>
      </c>
      <c r="L75" t="s">
        <v>127</v>
      </c>
      <c r="M75" s="160">
        <f>+J74</f>
        <v>2015972.0000000005</v>
      </c>
      <c r="N75" s="135">
        <f t="shared" ref="N75:N77" si="26">+M75/$M$73</f>
        <v>275030.28649386088</v>
      </c>
    </row>
    <row r="76" spans="1:14">
      <c r="A76" t="s">
        <v>42</v>
      </c>
      <c r="B76" s="159">
        <f t="shared" si="18"/>
        <v>0</v>
      </c>
      <c r="C76" s="159">
        <f t="shared" si="19"/>
        <v>0</v>
      </c>
      <c r="D76" s="159">
        <f t="shared" si="20"/>
        <v>0</v>
      </c>
      <c r="E76" s="159">
        <f t="shared" si="21"/>
        <v>0</v>
      </c>
      <c r="F76" s="159">
        <f t="shared" si="22"/>
        <v>1815</v>
      </c>
      <c r="G76" s="159">
        <f t="shared" si="23"/>
        <v>0</v>
      </c>
      <c r="I76" s="26">
        <f t="shared" si="24"/>
        <v>490</v>
      </c>
      <c r="J76" s="135">
        <f t="shared" si="25"/>
        <v>382388</v>
      </c>
      <c r="L76" t="s">
        <v>43</v>
      </c>
      <c r="M76" s="160">
        <f>+J82</f>
        <v>1795887</v>
      </c>
      <c r="N76" s="135">
        <f t="shared" si="26"/>
        <v>245005.04774897679</v>
      </c>
    </row>
    <row r="77" spans="1:14">
      <c r="A77" t="s">
        <v>135</v>
      </c>
      <c r="B77" s="159">
        <f t="shared" si="18"/>
        <v>8956</v>
      </c>
      <c r="C77" s="159">
        <f t="shared" si="19"/>
        <v>0</v>
      </c>
      <c r="D77" s="159">
        <f t="shared" si="20"/>
        <v>7674</v>
      </c>
      <c r="E77" s="159">
        <f t="shared" si="21"/>
        <v>36864</v>
      </c>
      <c r="F77" s="159">
        <f t="shared" si="22"/>
        <v>0</v>
      </c>
      <c r="G77" s="159">
        <f t="shared" si="23"/>
        <v>84047</v>
      </c>
      <c r="I77" s="26">
        <f t="shared" si="24"/>
        <v>1815</v>
      </c>
      <c r="J77" s="135">
        <f t="shared" si="25"/>
        <v>65.333333333333329</v>
      </c>
      <c r="L77" t="s">
        <v>44</v>
      </c>
      <c r="M77" s="160" t="e">
        <f>+I87/R22</f>
        <v>#DIV/0!</v>
      </c>
      <c r="N77" s="135" t="e">
        <f t="shared" si="26"/>
        <v>#DIV/0!</v>
      </c>
    </row>
    <row r="78" spans="1:14">
      <c r="A78" t="s">
        <v>137</v>
      </c>
      <c r="B78" s="159">
        <f t="shared" si="18"/>
        <v>1032854</v>
      </c>
      <c r="C78" s="159">
        <f t="shared" si="19"/>
        <v>1219970</v>
      </c>
      <c r="D78" s="159">
        <f t="shared" si="20"/>
        <v>496707</v>
      </c>
      <c r="E78" s="159">
        <f t="shared" si="21"/>
        <v>443904</v>
      </c>
      <c r="F78" s="159">
        <f t="shared" si="22"/>
        <v>314364</v>
      </c>
      <c r="G78" s="159">
        <f t="shared" si="23"/>
        <v>889389</v>
      </c>
      <c r="I78" s="26">
        <f t="shared" si="24"/>
        <v>137541</v>
      </c>
      <c r="J78" s="135">
        <f t="shared" si="25"/>
        <v>220</v>
      </c>
    </row>
    <row r="79" spans="1:14">
      <c r="A79" t="s">
        <v>138</v>
      </c>
      <c r="B79" s="159">
        <f t="shared" si="18"/>
        <v>0</v>
      </c>
      <c r="C79" s="159">
        <f t="shared" si="19"/>
        <v>161969</v>
      </c>
      <c r="D79" s="159">
        <f t="shared" si="20"/>
        <v>95064</v>
      </c>
      <c r="E79" s="159">
        <f t="shared" si="21"/>
        <v>257702</v>
      </c>
      <c r="F79" s="159">
        <f t="shared" si="22"/>
        <v>0</v>
      </c>
      <c r="G79" s="159">
        <f t="shared" si="23"/>
        <v>213408</v>
      </c>
      <c r="I79" s="26">
        <f t="shared" si="24"/>
        <v>4397188</v>
      </c>
      <c r="J79" s="135">
        <f t="shared" si="25"/>
        <v>20953.523809523809</v>
      </c>
    </row>
    <row r="80" spans="1:14">
      <c r="A80" t="s">
        <v>43</v>
      </c>
      <c r="B80" s="159">
        <f t="shared" si="18"/>
        <v>0</v>
      </c>
      <c r="C80" s="159">
        <f t="shared" si="19"/>
        <v>15552928.000000002</v>
      </c>
      <c r="D80" s="159">
        <f t="shared" si="20"/>
        <v>0</v>
      </c>
      <c r="E80" s="159">
        <f t="shared" si="21"/>
        <v>0</v>
      </c>
      <c r="F80" s="159">
        <f t="shared" si="22"/>
        <v>0</v>
      </c>
      <c r="G80" s="159">
        <f t="shared" si="23"/>
        <v>21322210</v>
      </c>
      <c r="I80" s="26">
        <f t="shared" si="24"/>
        <v>728143</v>
      </c>
      <c r="J80" s="135">
        <f t="shared" si="25"/>
        <v>172709.33333333334</v>
      </c>
    </row>
    <row r="81" spans="1:14">
      <c r="A81" t="s">
        <v>139</v>
      </c>
      <c r="B81" s="159">
        <f t="shared" si="18"/>
        <v>476382</v>
      </c>
      <c r="C81" s="159">
        <f t="shared" si="19"/>
        <v>739702.99999999988</v>
      </c>
      <c r="D81" s="159">
        <f t="shared" si="20"/>
        <v>629670</v>
      </c>
      <c r="E81" s="159">
        <f t="shared" si="21"/>
        <v>376704</v>
      </c>
      <c r="F81" s="159">
        <f t="shared" si="22"/>
        <v>53425</v>
      </c>
      <c r="G81" s="159">
        <f t="shared" si="23"/>
        <v>130635</v>
      </c>
      <c r="I81" s="26">
        <f t="shared" si="24"/>
        <v>36875138</v>
      </c>
      <c r="J81" s="135">
        <f t="shared" si="25"/>
        <v>96830.857142857145</v>
      </c>
    </row>
    <row r="82" spans="1:14">
      <c r="I82" s="26">
        <f t="shared" si="24"/>
        <v>2406519</v>
      </c>
      <c r="J82" s="135">
        <f t="shared" si="25"/>
        <v>1795887</v>
      </c>
    </row>
    <row r="83" spans="1:14">
      <c r="J83" s="135">
        <f t="shared" si="25"/>
        <v>376390.66666666669</v>
      </c>
    </row>
    <row r="84" spans="1:14">
      <c r="I84" s="26" t="e">
        <f>SUM(I72:I83)</f>
        <v>#VALUE!</v>
      </c>
    </row>
    <row r="85" spans="1:14" ht="16" thickBot="1"/>
    <row r="86" spans="1:14" ht="35" thickBot="1">
      <c r="B86" s="128" t="s">
        <v>146</v>
      </c>
      <c r="C86" s="128" t="s">
        <v>147</v>
      </c>
      <c r="D86" s="128" t="s">
        <v>148</v>
      </c>
      <c r="E86" s="128" t="s">
        <v>149</v>
      </c>
      <c r="F86" s="128" t="s">
        <v>150</v>
      </c>
      <c r="G86" s="128" t="s">
        <v>151</v>
      </c>
    </row>
    <row r="87" spans="1:14">
      <c r="A87" s="128" t="s">
        <v>146</v>
      </c>
      <c r="B87" s="131"/>
      <c r="C87" s="131"/>
      <c r="D87" s="131"/>
      <c r="E87" s="131"/>
      <c r="F87" s="131"/>
      <c r="G87" s="131"/>
      <c r="I87" s="26">
        <f>+I82+I80+I79+I78+I77+I76+I75+I74</f>
        <v>20949022</v>
      </c>
    </row>
    <row r="88" spans="1:14">
      <c r="A88" t="s">
        <v>152</v>
      </c>
      <c r="B88" s="26" t="str">
        <f t="shared" ref="B88:G88" si="27">+L5</f>
        <v>Enniberg</v>
      </c>
      <c r="C88" s="26" t="str">
        <f t="shared" si="27"/>
        <v>Gadus</v>
      </c>
      <c r="D88" s="26" t="str">
        <f t="shared" si="27"/>
        <v>Sjúrðarberg</v>
      </c>
      <c r="E88" s="26" t="str">
        <f t="shared" si="27"/>
        <v>Jógvan I</v>
      </c>
      <c r="F88" s="26" t="str">
        <f t="shared" si="27"/>
        <v>Arctic Viking</v>
      </c>
      <c r="G88" s="26" t="str">
        <f t="shared" si="27"/>
        <v>Tils.</v>
      </c>
    </row>
    <row r="89" spans="1:14">
      <c r="A89" t="s">
        <v>127</v>
      </c>
      <c r="B89" s="26">
        <f t="shared" ref="B89:G89" si="28">+K7</f>
        <v>695142.66666666663</v>
      </c>
      <c r="C89" s="26">
        <f t="shared" si="28"/>
        <v>568616.66666666674</v>
      </c>
      <c r="D89" s="26">
        <f t="shared" si="28"/>
        <v>374883.33333333337</v>
      </c>
      <c r="E89" s="26">
        <f t="shared" si="28"/>
        <v>248400</v>
      </c>
      <c r="F89" s="26">
        <f t="shared" si="28"/>
        <v>712</v>
      </c>
      <c r="G89" s="26">
        <f t="shared" si="28"/>
        <v>128217.33333333333</v>
      </c>
    </row>
    <row r="90" spans="1:14">
      <c r="A90" t="s">
        <v>43</v>
      </c>
      <c r="B90" s="26">
        <f t="shared" ref="B90:G90" si="29">+K15</f>
        <v>0</v>
      </c>
      <c r="C90" s="26">
        <f t="shared" si="29"/>
        <v>847639</v>
      </c>
      <c r="D90" s="26">
        <f t="shared" si="29"/>
        <v>0</v>
      </c>
      <c r="E90" s="26">
        <f t="shared" si="29"/>
        <v>0</v>
      </c>
      <c r="F90" s="26">
        <f t="shared" si="29"/>
        <v>0</v>
      </c>
      <c r="G90" s="26">
        <f t="shared" si="29"/>
        <v>948248</v>
      </c>
    </row>
    <row r="91" spans="1:14">
      <c r="A91" t="s">
        <v>44</v>
      </c>
      <c r="B91" s="26">
        <f t="shared" ref="B91:G91" si="30">+K16+K14+K13+K12+K11+K10+K9+K8</f>
        <v>497998.66666666674</v>
      </c>
      <c r="C91" s="26">
        <f t="shared" si="30"/>
        <v>327207.04761904763</v>
      </c>
      <c r="D91" s="26">
        <f t="shared" si="30"/>
        <v>336225.46031746035</v>
      </c>
      <c r="E91" s="26">
        <f t="shared" si="30"/>
        <v>322112.42857142858</v>
      </c>
      <c r="F91" s="26">
        <f t="shared" si="30"/>
        <v>19917.333333333332</v>
      </c>
      <c r="G91" s="26">
        <f t="shared" si="30"/>
        <v>187327.99999999997</v>
      </c>
    </row>
    <row r="92" spans="1:14" ht="16" thickBot="1">
      <c r="B92" s="26">
        <f>SUM(B88:B91)</f>
        <v>1193141.3333333335</v>
      </c>
      <c r="C92" s="26">
        <f t="shared" ref="C92:G92" si="31">SUM(C88:C91)</f>
        <v>1743462.7142857143</v>
      </c>
      <c r="D92" s="26">
        <f t="shared" si="31"/>
        <v>711108.79365079373</v>
      </c>
      <c r="E92" s="26">
        <f t="shared" si="31"/>
        <v>570512.42857142864</v>
      </c>
      <c r="F92" s="26">
        <f t="shared" si="31"/>
        <v>20629.333333333332</v>
      </c>
      <c r="G92" s="26">
        <f t="shared" si="31"/>
        <v>1263793.3333333333</v>
      </c>
      <c r="M92">
        <v>19600000</v>
      </c>
      <c r="N92">
        <f>+M92</f>
        <v>19600000</v>
      </c>
    </row>
    <row r="93" spans="1:14">
      <c r="A93" s="128" t="s">
        <v>147</v>
      </c>
      <c r="M93">
        <v>75000000</v>
      </c>
      <c r="N93">
        <f>+M93*0.25</f>
        <v>18750000</v>
      </c>
    </row>
    <row r="94" spans="1:14">
      <c r="B94">
        <v>3.7378804424098542</v>
      </c>
      <c r="C94">
        <v>3.7378804424098542</v>
      </c>
      <c r="D94">
        <v>3.7378804424098542</v>
      </c>
      <c r="E94">
        <v>3.7378804424098542</v>
      </c>
      <c r="F94">
        <v>3.7378804424098542</v>
      </c>
      <c r="G94">
        <v>3.7378804424098542</v>
      </c>
      <c r="M94">
        <v>9200000</v>
      </c>
      <c r="N94">
        <f>+M94*0.76</f>
        <v>6992000</v>
      </c>
    </row>
    <row r="95" spans="1:14">
      <c r="B95">
        <v>2.6426548421777358</v>
      </c>
      <c r="C95">
        <v>2.6426548421777358</v>
      </c>
      <c r="D95">
        <v>2.6426548421777358</v>
      </c>
      <c r="E95">
        <v>2.6426548421777358</v>
      </c>
      <c r="F95">
        <v>2.6426548421777358</v>
      </c>
      <c r="G95">
        <v>2.6426548421777358</v>
      </c>
      <c r="N95">
        <f>SUM(N92:N94)</f>
        <v>45342000</v>
      </c>
    </row>
    <row r="96" spans="1:14">
      <c r="B96">
        <v>2.8012422816938582</v>
      </c>
      <c r="C96">
        <v>2.8012422816938582</v>
      </c>
      <c r="D96">
        <v>2.8012422816938582</v>
      </c>
      <c r="E96">
        <v>2.8012422816938582</v>
      </c>
      <c r="F96">
        <v>2.8012422816938582</v>
      </c>
      <c r="G96">
        <v>2.8012422816938582</v>
      </c>
    </row>
    <row r="97" spans="2:13">
      <c r="B97">
        <v>1.7318876597474078</v>
      </c>
      <c r="C97">
        <v>1.7318876597474078</v>
      </c>
      <c r="D97">
        <v>1.7318876597474078</v>
      </c>
      <c r="E97">
        <v>1.7318876597474078</v>
      </c>
      <c r="F97">
        <v>1.7318876597474078</v>
      </c>
      <c r="G97">
        <v>1.7318876597474078</v>
      </c>
    </row>
    <row r="98" spans="2:13">
      <c r="L98" s="26">
        <f>+G92+E92+D92</f>
        <v>2545414.5555555555</v>
      </c>
      <c r="M98" s="161">
        <f>+L98/$L$102</f>
        <v>0.46257994058964164</v>
      </c>
    </row>
    <row r="99" spans="2:13">
      <c r="B99" s="159" t="e">
        <f>+B94*B88</f>
        <v>#VALUE!</v>
      </c>
      <c r="C99" s="159" t="e">
        <f t="shared" ref="C99:G99" si="32">+C94*C88</f>
        <v>#VALUE!</v>
      </c>
      <c r="D99" s="159" t="e">
        <f t="shared" si="32"/>
        <v>#VALUE!</v>
      </c>
      <c r="E99" s="159" t="e">
        <f t="shared" si="32"/>
        <v>#VALUE!</v>
      </c>
      <c r="F99" s="159" t="e">
        <f t="shared" si="32"/>
        <v>#VALUE!</v>
      </c>
      <c r="G99" s="159" t="e">
        <f t="shared" si="32"/>
        <v>#VALUE!</v>
      </c>
      <c r="L99" s="26">
        <f>+F92+B92</f>
        <v>1213770.6666666667</v>
      </c>
      <c r="M99" s="161">
        <f t="shared" ref="M99:M100" si="33">+L99/$L$102</f>
        <v>0.22057937935912067</v>
      </c>
    </row>
    <row r="100" spans="2:13">
      <c r="B100" s="159">
        <f t="shared" ref="B100:G102" si="34">+B95*B89</f>
        <v>1837022.1340710104</v>
      </c>
      <c r="C100" s="159">
        <f t="shared" si="34"/>
        <v>1502657.5875096305</v>
      </c>
      <c r="D100" s="159">
        <f t="shared" si="34"/>
        <v>990687.25608506368</v>
      </c>
      <c r="E100" s="159">
        <f t="shared" si="34"/>
        <v>656435.46279694955</v>
      </c>
      <c r="F100" s="159">
        <f t="shared" si="34"/>
        <v>1881.570247630548</v>
      </c>
      <c r="G100" s="159">
        <f t="shared" si="34"/>
        <v>338834.15678445011</v>
      </c>
      <c r="L100" s="26">
        <f>+C92</f>
        <v>1743462.7142857143</v>
      </c>
      <c r="M100" s="161">
        <f t="shared" si="33"/>
        <v>0.31684068005123767</v>
      </c>
    </row>
    <row r="101" spans="2:13">
      <c r="B101" s="159">
        <f t="shared" si="34"/>
        <v>0</v>
      </c>
      <c r="C101" s="159">
        <f t="shared" si="34"/>
        <v>2374442.2064127005</v>
      </c>
      <c r="D101" s="159">
        <f t="shared" si="34"/>
        <v>0</v>
      </c>
      <c r="E101" s="159">
        <f t="shared" si="34"/>
        <v>0</v>
      </c>
      <c r="F101" s="159">
        <f t="shared" si="34"/>
        <v>0</v>
      </c>
      <c r="G101" s="159">
        <f t="shared" si="34"/>
        <v>2656272.3911316376</v>
      </c>
    </row>
    <row r="102" spans="2:13">
      <c r="B102" s="159">
        <f t="shared" si="34"/>
        <v>862477.74537066289</v>
      </c>
      <c r="C102" s="159">
        <f t="shared" si="34"/>
        <v>566685.84795381106</v>
      </c>
      <c r="D102" s="159">
        <f t="shared" si="34"/>
        <v>582304.7256167013</v>
      </c>
      <c r="E102" s="159">
        <f t="shared" si="34"/>
        <v>557862.54009412543</v>
      </c>
      <c r="F102" s="159">
        <f t="shared" si="34"/>
        <v>34494.583815075704</v>
      </c>
      <c r="G102" s="159">
        <f t="shared" si="34"/>
        <v>324431.05152516236</v>
      </c>
      <c r="L102" s="26">
        <f>SUM(L98:L101)</f>
        <v>5502647.9365079366</v>
      </c>
    </row>
    <row r="103" spans="2:13">
      <c r="B103" s="159"/>
    </row>
    <row r="104" spans="2:13">
      <c r="B104" s="159" t="e">
        <f>SUM(B99:B103)</f>
        <v>#VALUE!</v>
      </c>
      <c r="C104" s="159" t="e">
        <f t="shared" ref="C104:G104" si="35">SUM(C99:C103)</f>
        <v>#VALUE!</v>
      </c>
      <c r="D104" s="159" t="e">
        <f t="shared" si="35"/>
        <v>#VALUE!</v>
      </c>
      <c r="E104" s="159" t="e">
        <f t="shared" si="35"/>
        <v>#VALUE!</v>
      </c>
      <c r="F104" s="159" t="e">
        <f t="shared" si="35"/>
        <v>#VALUE!</v>
      </c>
      <c r="G104" s="159" t="e">
        <f t="shared" si="35"/>
        <v>#VALUE!</v>
      </c>
    </row>
    <row r="105" spans="2:13">
      <c r="B105" s="159"/>
      <c r="I105" s="26" t="e">
        <f>SUM(B104:G104)</f>
        <v>#VALUE!</v>
      </c>
    </row>
    <row r="106" spans="2:13">
      <c r="B106" s="162" t="e">
        <f>+B104/1000000</f>
        <v>#VALUE!</v>
      </c>
      <c r="C106" s="162" t="e">
        <f t="shared" ref="C106:G106" si="36">+C104/1000000</f>
        <v>#VALUE!</v>
      </c>
      <c r="D106" s="162" t="e">
        <f t="shared" si="36"/>
        <v>#VALUE!</v>
      </c>
      <c r="E106" s="162" t="e">
        <f t="shared" si="36"/>
        <v>#VALUE!</v>
      </c>
      <c r="F106" s="162" t="e">
        <f t="shared" si="36"/>
        <v>#VALUE!</v>
      </c>
      <c r="G106" s="162" t="e">
        <f t="shared" si="36"/>
        <v>#VALUE!</v>
      </c>
    </row>
  </sheetData>
  <mergeCells count="7">
    <mergeCell ref="A31:H31"/>
    <mergeCell ref="A4:H4"/>
    <mergeCell ref="M4:R4"/>
    <mergeCell ref="U5:W5"/>
    <mergeCell ref="A18:H18"/>
    <mergeCell ref="K18:R18"/>
    <mergeCell ref="V13:AB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BH107"/>
  <sheetViews>
    <sheetView showGridLines="0" topLeftCell="A63" zoomScale="130" zoomScaleNormal="130" workbookViewId="0">
      <selection activeCell="E103" sqref="E103"/>
    </sheetView>
  </sheetViews>
  <sheetFormatPr defaultRowHeight="15.5"/>
  <cols>
    <col min="2" max="2" width="10.83203125" customWidth="1"/>
    <col min="3" max="3" width="10.5" customWidth="1"/>
    <col min="4" max="4" width="12.33203125" customWidth="1"/>
    <col min="5" max="7" width="9" customWidth="1"/>
    <col min="9" max="10" width="9" customWidth="1"/>
    <col min="12" max="15" width="0" hidden="1" customWidth="1"/>
    <col min="16" max="16" width="9.83203125" bestFit="1" customWidth="1"/>
    <col min="17" max="17" width="0" hidden="1" customWidth="1"/>
    <col min="18" max="18" width="0.75" hidden="1" customWidth="1"/>
    <col min="19" max="19" width="1" hidden="1" customWidth="1"/>
    <col min="20" max="23" width="0" hidden="1" customWidth="1"/>
    <col min="24" max="24" width="10.83203125" bestFit="1" customWidth="1"/>
    <col min="25" max="27" width="0" hidden="1" customWidth="1"/>
    <col min="28" max="28" width="12.83203125" customWidth="1"/>
    <col min="29" max="29" width="11.08203125" hidden="1" customWidth="1"/>
    <col min="30" max="31" width="0" hidden="1" customWidth="1"/>
    <col min="32" max="33" width="10.83203125" bestFit="1" customWidth="1"/>
    <col min="34" max="34" width="11.58203125" customWidth="1"/>
    <col min="35" max="35" width="11.08203125" customWidth="1"/>
    <col min="37" max="39" width="0" hidden="1" customWidth="1"/>
    <col min="40" max="40" width="13.75" hidden="1" customWidth="1"/>
    <col min="41" max="41" width="11.58203125" customWidth="1"/>
    <col min="42" max="42" width="13.75" customWidth="1"/>
    <col min="43" max="43" width="11.25" customWidth="1"/>
    <col min="44" max="44" width="11.08203125" customWidth="1"/>
    <col min="45" max="45" width="11.58203125" customWidth="1"/>
    <col min="46" max="46" width="14" customWidth="1"/>
    <col min="47" max="47" width="18.58203125" customWidth="1"/>
  </cols>
  <sheetData>
    <row r="2" spans="1:60">
      <c r="A2" s="4" t="s">
        <v>171</v>
      </c>
      <c r="B2" s="4"/>
      <c r="C2" s="4"/>
      <c r="D2" s="4"/>
      <c r="E2" s="4"/>
      <c r="F2" s="4"/>
      <c r="G2" s="4"/>
      <c r="H2" s="4"/>
      <c r="I2" s="4"/>
      <c r="J2" s="4"/>
      <c r="K2" s="4" t="s">
        <v>170</v>
      </c>
      <c r="L2" s="4"/>
      <c r="M2" s="4"/>
      <c r="N2" s="4"/>
      <c r="O2" s="4"/>
      <c r="P2" s="4"/>
      <c r="Q2" s="4"/>
      <c r="R2" s="4"/>
      <c r="S2" s="4" t="s">
        <v>169</v>
      </c>
      <c r="T2" s="4"/>
      <c r="U2" s="4"/>
      <c r="V2" s="4"/>
      <c r="W2" s="4"/>
      <c r="X2" s="4"/>
      <c r="Y2" s="4"/>
      <c r="Z2" s="4"/>
      <c r="AA2" s="4"/>
      <c r="AB2" s="4" t="s">
        <v>172</v>
      </c>
      <c r="AC2" s="4"/>
      <c r="AD2" s="4"/>
      <c r="AE2" s="4"/>
      <c r="AF2" s="4"/>
      <c r="AG2" s="4"/>
      <c r="AH2" s="4"/>
      <c r="AI2" s="4"/>
      <c r="AJ2" s="4" t="s">
        <v>185</v>
      </c>
      <c r="AO2" s="4" t="s">
        <v>177</v>
      </c>
      <c r="BB2" t="s">
        <v>168</v>
      </c>
      <c r="BD2">
        <v>2021</v>
      </c>
      <c r="BE2">
        <v>2020</v>
      </c>
      <c r="BF2">
        <v>2019</v>
      </c>
      <c r="BG2">
        <v>2018</v>
      </c>
      <c r="BH2">
        <v>2017</v>
      </c>
    </row>
    <row r="3" spans="1:60">
      <c r="A3" s="4" t="s">
        <v>168</v>
      </c>
      <c r="C3" s="4">
        <v>2021</v>
      </c>
      <c r="D3" s="4">
        <v>2020</v>
      </c>
      <c r="E3" s="4">
        <v>2019</v>
      </c>
      <c r="F3" s="4">
        <v>2018</v>
      </c>
      <c r="G3" s="4">
        <v>2017</v>
      </c>
      <c r="H3" s="4"/>
      <c r="I3" s="4" t="s">
        <v>168</v>
      </c>
      <c r="J3" s="4"/>
      <c r="K3" s="4">
        <v>2021</v>
      </c>
      <c r="L3" s="4">
        <v>2020</v>
      </c>
      <c r="M3" s="4">
        <v>2019</v>
      </c>
      <c r="N3" s="4">
        <v>2018</v>
      </c>
      <c r="O3" s="4">
        <v>2017</v>
      </c>
      <c r="Q3" t="s">
        <v>168</v>
      </c>
      <c r="S3" s="4">
        <v>2021</v>
      </c>
      <c r="T3" s="4">
        <v>2020</v>
      </c>
      <c r="U3" s="4">
        <v>2019</v>
      </c>
      <c r="V3" s="4">
        <v>2018</v>
      </c>
      <c r="W3" s="4">
        <v>2017</v>
      </c>
      <c r="X3" s="4"/>
      <c r="Y3" s="4" t="s">
        <v>168</v>
      </c>
      <c r="Z3" s="4"/>
      <c r="AA3" s="4">
        <v>2022</v>
      </c>
      <c r="AB3" s="4">
        <v>2021</v>
      </c>
      <c r="AC3" s="4">
        <v>2020</v>
      </c>
      <c r="AD3" s="4">
        <v>2019</v>
      </c>
      <c r="AE3" s="4">
        <v>2018</v>
      </c>
      <c r="AF3" s="4"/>
      <c r="AG3" s="4"/>
      <c r="AH3" s="4" t="s">
        <v>168</v>
      </c>
      <c r="AI3" s="4"/>
      <c r="AJ3" s="4">
        <v>2021</v>
      </c>
      <c r="AK3">
        <v>2020</v>
      </c>
      <c r="AL3">
        <v>2019</v>
      </c>
      <c r="AM3">
        <v>2018</v>
      </c>
      <c r="AN3">
        <v>2017</v>
      </c>
      <c r="BB3" t="s">
        <v>153</v>
      </c>
      <c r="BD3" s="46">
        <v>366762</v>
      </c>
      <c r="BE3" s="46">
        <v>236630</v>
      </c>
      <c r="BF3" s="46">
        <v>386962</v>
      </c>
      <c r="BG3" s="46">
        <v>325634</v>
      </c>
      <c r="BH3" s="46">
        <v>351803</v>
      </c>
    </row>
    <row r="4" spans="1:60">
      <c r="A4" t="s">
        <v>153</v>
      </c>
      <c r="C4" s="46">
        <v>202245</v>
      </c>
      <c r="D4" s="46">
        <v>86790</v>
      </c>
      <c r="E4" s="46">
        <v>116621</v>
      </c>
      <c r="F4" s="46">
        <v>55401</v>
      </c>
      <c r="G4" s="46">
        <v>217778</v>
      </c>
      <c r="I4" t="s">
        <v>153</v>
      </c>
      <c r="K4" s="46">
        <v>163964</v>
      </c>
      <c r="L4" s="46">
        <v>81165</v>
      </c>
      <c r="M4" s="46">
        <v>96631</v>
      </c>
      <c r="N4" s="46">
        <v>102590</v>
      </c>
      <c r="O4" s="46">
        <v>128789</v>
      </c>
      <c r="Q4" t="s">
        <v>153</v>
      </c>
      <c r="S4" s="46">
        <v>6955</v>
      </c>
      <c r="T4" s="46">
        <v>-1605</v>
      </c>
      <c r="U4" s="46">
        <v>-4156</v>
      </c>
      <c r="V4" s="46">
        <v>7218</v>
      </c>
      <c r="W4" s="46">
        <v>7137</v>
      </c>
      <c r="Y4" t="s">
        <v>153</v>
      </c>
      <c r="AA4" s="46">
        <v>18217</v>
      </c>
      <c r="AB4" s="46">
        <v>8188</v>
      </c>
      <c r="AC4" s="46">
        <v>22214</v>
      </c>
      <c r="AD4" s="46">
        <v>19850</v>
      </c>
      <c r="AE4" s="46">
        <v>40325</v>
      </c>
      <c r="AH4" t="s">
        <v>153</v>
      </c>
      <c r="AJ4" s="46">
        <v>359076</v>
      </c>
      <c r="AK4" s="46">
        <v>262912</v>
      </c>
      <c r="AL4" s="46">
        <v>328730</v>
      </c>
      <c r="AM4" s="46">
        <v>303919</v>
      </c>
      <c r="AN4" s="46">
        <v>314517</v>
      </c>
      <c r="AO4" s="46"/>
      <c r="AP4" s="46"/>
      <c r="BB4" t="s">
        <v>154</v>
      </c>
      <c r="BD4" s="46">
        <v>114030</v>
      </c>
      <c r="BE4" s="46">
        <v>87564</v>
      </c>
      <c r="BF4" s="46">
        <v>78181</v>
      </c>
      <c r="BG4" s="46">
        <v>69036</v>
      </c>
      <c r="BH4" s="46">
        <v>62664</v>
      </c>
    </row>
    <row r="5" spans="1:60">
      <c r="A5" s="176" t="s">
        <v>154</v>
      </c>
      <c r="B5" s="176"/>
      <c r="C5" s="177">
        <v>62806</v>
      </c>
      <c r="D5" s="177">
        <v>53188</v>
      </c>
      <c r="E5" s="177">
        <v>57318</v>
      </c>
      <c r="F5" s="177">
        <v>36284</v>
      </c>
      <c r="G5" s="177">
        <v>30555</v>
      </c>
      <c r="H5" s="176"/>
      <c r="I5" s="176" t="s">
        <v>154</v>
      </c>
      <c r="J5" s="176"/>
      <c r="K5" s="177">
        <v>41029</v>
      </c>
      <c r="L5" s="177">
        <v>27270</v>
      </c>
      <c r="M5" s="177">
        <v>27021</v>
      </c>
      <c r="N5" s="177">
        <v>30647</v>
      </c>
      <c r="O5" s="177">
        <v>35414</v>
      </c>
      <c r="P5" s="176"/>
      <c r="Q5" s="176" t="s">
        <v>154</v>
      </c>
      <c r="R5" s="176"/>
      <c r="S5" s="177">
        <v>3616</v>
      </c>
      <c r="T5" s="177">
        <v>3382</v>
      </c>
      <c r="U5" s="177">
        <v>3064</v>
      </c>
      <c r="V5" s="177">
        <v>2957</v>
      </c>
      <c r="W5" s="177">
        <v>2883</v>
      </c>
      <c r="X5" s="176"/>
      <c r="Y5" s="176" t="s">
        <v>154</v>
      </c>
      <c r="Z5" s="176"/>
      <c r="AA5" s="177">
        <v>16639</v>
      </c>
      <c r="AB5" s="177">
        <v>20448</v>
      </c>
      <c r="AC5" s="177">
        <v>18543</v>
      </c>
      <c r="AD5" s="177">
        <v>20197</v>
      </c>
      <c r="AE5" s="177">
        <v>22351</v>
      </c>
      <c r="AF5" s="176"/>
      <c r="AG5" s="176"/>
      <c r="AH5" s="176" t="s">
        <v>154</v>
      </c>
      <c r="AI5" s="176"/>
      <c r="AJ5" s="177">
        <v>52805</v>
      </c>
      <c r="AK5" s="177">
        <v>55253</v>
      </c>
      <c r="AL5" s="177">
        <v>52896</v>
      </c>
      <c r="AM5" s="177">
        <v>49473</v>
      </c>
      <c r="AN5" s="177">
        <v>48383</v>
      </c>
      <c r="AO5" s="177">
        <v>728423</v>
      </c>
      <c r="AP5" s="46"/>
      <c r="BB5" t="s">
        <v>155</v>
      </c>
      <c r="BD5">
        <v>0</v>
      </c>
      <c r="BE5">
        <v>0</v>
      </c>
      <c r="BF5">
        <v>0</v>
      </c>
      <c r="BG5">
        <v>0</v>
      </c>
      <c r="BH5">
        <v>0</v>
      </c>
    </row>
    <row r="6" spans="1:60">
      <c r="A6" t="s">
        <v>155</v>
      </c>
      <c r="C6">
        <v>-402</v>
      </c>
      <c r="D6">
        <v>483</v>
      </c>
      <c r="E6">
        <v>917</v>
      </c>
      <c r="F6">
        <v>848</v>
      </c>
      <c r="G6">
        <v>0</v>
      </c>
      <c r="I6" t="s">
        <v>155</v>
      </c>
      <c r="K6">
        <v>0</v>
      </c>
      <c r="L6">
        <v>0</v>
      </c>
      <c r="M6">
        <v>0</v>
      </c>
      <c r="N6">
        <v>0</v>
      </c>
      <c r="O6">
        <v>0</v>
      </c>
      <c r="Q6" t="s">
        <v>155</v>
      </c>
      <c r="S6">
        <v>0</v>
      </c>
      <c r="T6">
        <v>87</v>
      </c>
      <c r="U6">
        <v>0</v>
      </c>
      <c r="V6">
        <v>0</v>
      </c>
      <c r="W6">
        <v>0</v>
      </c>
      <c r="Y6" t="s">
        <v>155</v>
      </c>
      <c r="AA6">
        <v>0</v>
      </c>
      <c r="AB6">
        <v>150</v>
      </c>
      <c r="AC6">
        <v>0</v>
      </c>
      <c r="AD6">
        <v>0</v>
      </c>
      <c r="AE6">
        <v>0</v>
      </c>
      <c r="AH6" t="s">
        <v>155</v>
      </c>
      <c r="AJ6">
        <v>0</v>
      </c>
      <c r="AK6">
        <v>0</v>
      </c>
      <c r="AL6">
        <v>0</v>
      </c>
      <c r="AM6">
        <v>0</v>
      </c>
      <c r="AN6">
        <v>0</v>
      </c>
      <c r="AS6" s="46">
        <f>+AP33</f>
        <v>181555167</v>
      </c>
      <c r="BB6" t="s">
        <v>156</v>
      </c>
      <c r="BD6" s="46">
        <v>136734</v>
      </c>
      <c r="BE6" s="46">
        <v>103774</v>
      </c>
      <c r="BF6" s="46">
        <v>103487</v>
      </c>
      <c r="BG6" s="46">
        <v>64829</v>
      </c>
      <c r="BH6" s="46">
        <v>46048</v>
      </c>
    </row>
    <row r="7" spans="1:60">
      <c r="A7" t="s">
        <v>156</v>
      </c>
      <c r="C7" s="46">
        <v>50005</v>
      </c>
      <c r="D7" s="46">
        <v>34492</v>
      </c>
      <c r="E7" s="46">
        <v>31884</v>
      </c>
      <c r="F7" s="46">
        <v>10536</v>
      </c>
      <c r="G7" s="46">
        <v>12771</v>
      </c>
      <c r="I7" t="s">
        <v>156</v>
      </c>
      <c r="K7" s="46">
        <v>23823</v>
      </c>
      <c r="L7" s="46">
        <v>23321</v>
      </c>
      <c r="M7" s="46">
        <v>23140</v>
      </c>
      <c r="N7" s="46">
        <v>23066</v>
      </c>
      <c r="O7" s="46">
        <v>23064</v>
      </c>
      <c r="Q7" t="s">
        <v>156</v>
      </c>
      <c r="S7">
        <v>115</v>
      </c>
      <c r="T7">
        <v>0</v>
      </c>
      <c r="U7">
        <v>85</v>
      </c>
      <c r="V7">
        <v>106</v>
      </c>
      <c r="W7">
        <v>106</v>
      </c>
      <c r="Y7" t="s">
        <v>156</v>
      </c>
      <c r="AA7">
        <v>79</v>
      </c>
      <c r="AB7">
        <v>74</v>
      </c>
      <c r="AC7">
        <v>50</v>
      </c>
      <c r="AD7">
        <v>62</v>
      </c>
      <c r="AE7">
        <v>65</v>
      </c>
      <c r="AH7" t="s">
        <v>156</v>
      </c>
      <c r="AJ7" s="46">
        <v>30103</v>
      </c>
      <c r="AK7" s="46">
        <v>30878</v>
      </c>
      <c r="AL7" s="46">
        <v>28620</v>
      </c>
      <c r="AM7" s="46">
        <v>29485</v>
      </c>
      <c r="AN7" s="46">
        <v>30697</v>
      </c>
      <c r="AO7" s="46"/>
      <c r="AP7" s="46"/>
      <c r="BB7" t="s">
        <v>157</v>
      </c>
      <c r="BD7" s="46">
        <v>115998</v>
      </c>
      <c r="BE7" s="46">
        <v>45292</v>
      </c>
      <c r="BF7" s="46">
        <v>205294</v>
      </c>
      <c r="BG7" s="46">
        <v>191769</v>
      </c>
      <c r="BH7" s="46">
        <v>243091</v>
      </c>
    </row>
    <row r="8" spans="1:60">
      <c r="A8" t="s">
        <v>157</v>
      </c>
      <c r="C8" s="46">
        <v>89836</v>
      </c>
      <c r="D8" s="46">
        <v>-1373</v>
      </c>
      <c r="E8" s="46">
        <v>26502</v>
      </c>
      <c r="F8" s="46">
        <v>7733</v>
      </c>
      <c r="G8" s="46">
        <v>174452</v>
      </c>
      <c r="I8" t="s">
        <v>157</v>
      </c>
      <c r="K8" s="46">
        <v>99112</v>
      </c>
      <c r="L8" s="46">
        <v>30574</v>
      </c>
      <c r="M8" s="46">
        <v>46470</v>
      </c>
      <c r="N8" s="46">
        <v>48877</v>
      </c>
      <c r="O8" s="46">
        <v>70311</v>
      </c>
      <c r="Q8" t="s">
        <v>157</v>
      </c>
      <c r="S8" s="46">
        <v>3224</v>
      </c>
      <c r="T8" s="46">
        <v>-5074</v>
      </c>
      <c r="U8" s="46">
        <v>-7305</v>
      </c>
      <c r="V8" s="46">
        <v>4155</v>
      </c>
      <c r="W8" s="46">
        <v>4148</v>
      </c>
      <c r="Y8" t="s">
        <v>157</v>
      </c>
      <c r="AA8" s="46">
        <v>1499</v>
      </c>
      <c r="AB8" s="46">
        <v>-12484</v>
      </c>
      <c r="AC8" s="46">
        <v>3621</v>
      </c>
      <c r="AD8">
        <v>-409</v>
      </c>
      <c r="AE8" s="46">
        <v>17909</v>
      </c>
      <c r="AH8" t="s">
        <v>157</v>
      </c>
      <c r="AJ8" s="46">
        <v>276168</v>
      </c>
      <c r="AK8" s="46">
        <v>176781</v>
      </c>
      <c r="AL8" s="46">
        <v>247214</v>
      </c>
      <c r="AM8" s="46">
        <v>224961</v>
      </c>
      <c r="AN8" s="46">
        <v>235437</v>
      </c>
      <c r="AO8" s="46"/>
      <c r="AP8" s="46"/>
      <c r="AS8" s="163">
        <f>+AS6*0.23</f>
        <v>41757688.410000004</v>
      </c>
      <c r="AT8">
        <f>+AS8/0.23</f>
        <v>181555167</v>
      </c>
      <c r="BB8" t="s">
        <v>158</v>
      </c>
      <c r="BD8" s="46">
        <v>4630</v>
      </c>
      <c r="BE8" s="46">
        <v>1550</v>
      </c>
      <c r="BF8" s="46">
        <v>1146</v>
      </c>
      <c r="BG8" s="46">
        <v>2222</v>
      </c>
      <c r="BH8" s="46">
        <v>980</v>
      </c>
    </row>
    <row r="9" spans="1:60">
      <c r="A9" t="s">
        <v>158</v>
      </c>
      <c r="C9" s="46">
        <v>10055</v>
      </c>
      <c r="D9" s="46">
        <v>5352</v>
      </c>
      <c r="E9" s="46">
        <v>3073</v>
      </c>
      <c r="F9" s="46">
        <v>1083</v>
      </c>
      <c r="G9" s="46">
        <v>3134</v>
      </c>
      <c r="I9" t="s">
        <v>158</v>
      </c>
      <c r="K9" s="46">
        <v>2369</v>
      </c>
      <c r="L9">
        <v>20</v>
      </c>
      <c r="M9">
        <v>149</v>
      </c>
      <c r="N9">
        <v>860</v>
      </c>
      <c r="O9">
        <v>80</v>
      </c>
      <c r="Q9" t="s">
        <v>158</v>
      </c>
      <c r="S9">
        <v>309</v>
      </c>
      <c r="T9">
        <v>224</v>
      </c>
      <c r="U9" s="46">
        <v>1420</v>
      </c>
      <c r="V9">
        <v>642</v>
      </c>
      <c r="W9">
        <v>580</v>
      </c>
      <c r="Y9" t="s">
        <v>158</v>
      </c>
      <c r="AA9" s="46">
        <v>1199</v>
      </c>
      <c r="AB9">
        <v>379</v>
      </c>
      <c r="AC9">
        <v>424</v>
      </c>
      <c r="AD9" s="46">
        <v>2200</v>
      </c>
      <c r="AE9" s="46">
        <v>2937</v>
      </c>
      <c r="AH9" t="s">
        <v>158</v>
      </c>
      <c r="AJ9" s="46">
        <v>36542</v>
      </c>
      <c r="AK9" s="46">
        <v>5170</v>
      </c>
      <c r="AL9" s="46">
        <v>10693</v>
      </c>
      <c r="AM9" s="46">
        <v>9057</v>
      </c>
      <c r="AN9" s="46">
        <v>17160</v>
      </c>
      <c r="AO9" s="46"/>
      <c r="AP9" s="46"/>
      <c r="BB9" t="s">
        <v>159</v>
      </c>
      <c r="BD9" s="46">
        <v>8099</v>
      </c>
      <c r="BE9" s="46">
        <v>10096</v>
      </c>
      <c r="BF9" s="46">
        <v>7951</v>
      </c>
      <c r="BG9" s="46">
        <v>8413</v>
      </c>
      <c r="BH9" s="46">
        <v>5894</v>
      </c>
    </row>
    <row r="10" spans="1:60">
      <c r="A10" t="s">
        <v>159</v>
      </c>
      <c r="C10" s="46">
        <v>15430</v>
      </c>
      <c r="D10" s="46">
        <v>20303</v>
      </c>
      <c r="E10" s="46">
        <v>17740</v>
      </c>
      <c r="F10" s="46">
        <v>13325</v>
      </c>
      <c r="G10" s="46">
        <v>13835</v>
      </c>
      <c r="I10" t="s">
        <v>159</v>
      </c>
      <c r="K10" s="46">
        <v>4139</v>
      </c>
      <c r="L10" s="46">
        <v>8094</v>
      </c>
      <c r="M10" s="46">
        <v>5604</v>
      </c>
      <c r="N10" s="46">
        <v>5966</v>
      </c>
      <c r="O10" s="46">
        <v>8798</v>
      </c>
      <c r="Q10" t="s">
        <v>159</v>
      </c>
      <c r="S10">
        <v>203</v>
      </c>
      <c r="T10">
        <v>699</v>
      </c>
      <c r="U10">
        <v>47</v>
      </c>
      <c r="V10">
        <v>21</v>
      </c>
      <c r="W10">
        <v>64</v>
      </c>
      <c r="Y10" t="s">
        <v>159</v>
      </c>
      <c r="AA10">
        <v>55</v>
      </c>
      <c r="AB10">
        <v>77</v>
      </c>
      <c r="AC10">
        <v>95</v>
      </c>
      <c r="AD10" s="46">
        <v>2013</v>
      </c>
      <c r="AE10" s="46">
        <v>3411</v>
      </c>
      <c r="AH10" t="s">
        <v>159</v>
      </c>
      <c r="AJ10" s="46">
        <v>4819</v>
      </c>
      <c r="AK10" s="46">
        <v>32320</v>
      </c>
      <c r="AL10" s="46">
        <v>5855</v>
      </c>
      <c r="AM10" s="46">
        <v>1636</v>
      </c>
      <c r="AN10" s="46">
        <v>15776</v>
      </c>
      <c r="AO10" s="46"/>
      <c r="AP10" s="46"/>
      <c r="AQ10" t="s">
        <v>179</v>
      </c>
      <c r="BB10" t="s">
        <v>160</v>
      </c>
      <c r="BD10" s="46">
        <v>112529</v>
      </c>
      <c r="BE10" s="46">
        <v>36746</v>
      </c>
      <c r="BF10" s="46">
        <v>198489</v>
      </c>
      <c r="BG10" s="46">
        <v>185578</v>
      </c>
      <c r="BH10" s="46">
        <v>238177</v>
      </c>
    </row>
    <row r="11" spans="1:60">
      <c r="A11" s="176" t="s">
        <v>160</v>
      </c>
      <c r="B11" s="176"/>
      <c r="C11" s="177">
        <v>84461</v>
      </c>
      <c r="D11" s="177">
        <v>-16324</v>
      </c>
      <c r="E11" s="177">
        <v>11835</v>
      </c>
      <c r="F11" s="177">
        <v>-4509</v>
      </c>
      <c r="G11" s="177">
        <v>163751</v>
      </c>
      <c r="H11" s="176"/>
      <c r="I11" s="176" t="s">
        <v>160</v>
      </c>
      <c r="J11" s="176"/>
      <c r="K11" s="177">
        <v>97342</v>
      </c>
      <c r="L11" s="177">
        <v>22500</v>
      </c>
      <c r="M11" s="177">
        <v>41015</v>
      </c>
      <c r="N11" s="177">
        <v>43771</v>
      </c>
      <c r="O11" s="177">
        <v>61593</v>
      </c>
      <c r="P11" s="176"/>
      <c r="Q11" s="176" t="s">
        <v>160</v>
      </c>
      <c r="R11" s="176"/>
      <c r="S11" s="177">
        <v>3330</v>
      </c>
      <c r="T11" s="177">
        <v>-5549</v>
      </c>
      <c r="U11" s="177">
        <v>-5932</v>
      </c>
      <c r="V11" s="177">
        <v>4776</v>
      </c>
      <c r="W11" s="177">
        <v>4664</v>
      </c>
      <c r="X11" s="176"/>
      <c r="Y11" s="176" t="s">
        <v>160</v>
      </c>
      <c r="Z11" s="176"/>
      <c r="AA11" s="177">
        <v>2643</v>
      </c>
      <c r="AB11" s="177">
        <v>-12182</v>
      </c>
      <c r="AC11" s="177">
        <v>3950</v>
      </c>
      <c r="AD11" s="176">
        <v>-222</v>
      </c>
      <c r="AE11" s="177">
        <v>17435</v>
      </c>
      <c r="AF11" s="176"/>
      <c r="AG11" s="176"/>
      <c r="AH11" s="176" t="s">
        <v>160</v>
      </c>
      <c r="AI11" s="176"/>
      <c r="AJ11" s="177">
        <v>307891</v>
      </c>
      <c r="AK11" s="46">
        <v>149631</v>
      </c>
      <c r="AL11" s="46">
        <v>252052</v>
      </c>
      <c r="AM11" s="46">
        <v>232382</v>
      </c>
      <c r="AN11" s="46">
        <v>236821</v>
      </c>
      <c r="AO11" s="177">
        <v>964036</v>
      </c>
      <c r="AP11" s="46"/>
      <c r="AS11" s="163">
        <f>+AS6*0.6</f>
        <v>108933100.2</v>
      </c>
      <c r="BB11" t="s">
        <v>161</v>
      </c>
      <c r="BD11">
        <v>0</v>
      </c>
      <c r="BE11">
        <v>0</v>
      </c>
      <c r="BF11">
        <v>0</v>
      </c>
      <c r="BG11">
        <v>0</v>
      </c>
      <c r="BH11">
        <v>0</v>
      </c>
    </row>
    <row r="12" spans="1:60">
      <c r="A12" t="s">
        <v>161</v>
      </c>
      <c r="C12">
        <v>0</v>
      </c>
      <c r="D12">
        <v>0</v>
      </c>
      <c r="E12">
        <v>0</v>
      </c>
      <c r="F12">
        <v>0</v>
      </c>
      <c r="G12">
        <v>0</v>
      </c>
      <c r="I12" t="s">
        <v>161</v>
      </c>
      <c r="K12">
        <v>0</v>
      </c>
      <c r="L12">
        <v>0</v>
      </c>
      <c r="M12">
        <v>0</v>
      </c>
      <c r="N12">
        <v>0</v>
      </c>
      <c r="O12">
        <v>0</v>
      </c>
      <c r="Q12" t="s">
        <v>161</v>
      </c>
      <c r="S12">
        <v>0</v>
      </c>
      <c r="T12">
        <v>0</v>
      </c>
      <c r="U12">
        <v>0</v>
      </c>
      <c r="V12">
        <v>0</v>
      </c>
      <c r="W12">
        <v>0</v>
      </c>
      <c r="Y12" t="s">
        <v>161</v>
      </c>
      <c r="AA12">
        <v>0</v>
      </c>
      <c r="AB12">
        <v>0</v>
      </c>
      <c r="AC12">
        <v>0</v>
      </c>
      <c r="AD12">
        <v>0</v>
      </c>
      <c r="AE12">
        <v>0</v>
      </c>
      <c r="AH12" t="s">
        <v>161</v>
      </c>
      <c r="AJ12">
        <v>0</v>
      </c>
      <c r="AK12">
        <v>0</v>
      </c>
      <c r="AL12">
        <v>0</v>
      </c>
      <c r="AM12">
        <v>0</v>
      </c>
      <c r="AN12">
        <v>0</v>
      </c>
      <c r="AQ12" t="s">
        <v>180</v>
      </c>
      <c r="BB12" t="s">
        <v>162</v>
      </c>
      <c r="BD12" s="46">
        <v>112529</v>
      </c>
      <c r="BE12" s="46">
        <v>36746</v>
      </c>
      <c r="BF12" s="46">
        <v>198489</v>
      </c>
      <c r="BG12" s="46">
        <v>185578</v>
      </c>
      <c r="BH12" s="46">
        <v>238177</v>
      </c>
    </row>
    <row r="13" spans="1:60">
      <c r="A13" t="s">
        <v>162</v>
      </c>
      <c r="C13" s="46">
        <v>84461</v>
      </c>
      <c r="D13" s="46">
        <v>-16324</v>
      </c>
      <c r="E13" s="46">
        <v>11835</v>
      </c>
      <c r="F13" s="46">
        <v>-4509</v>
      </c>
      <c r="G13" s="46">
        <v>163751</v>
      </c>
      <c r="I13" t="s">
        <v>162</v>
      </c>
      <c r="K13" s="46">
        <v>97342</v>
      </c>
      <c r="L13" s="46">
        <v>22500</v>
      </c>
      <c r="M13" s="46">
        <v>41015</v>
      </c>
      <c r="N13" s="46">
        <v>43771</v>
      </c>
      <c r="O13" s="46">
        <v>61593</v>
      </c>
      <c r="Q13" t="s">
        <v>162</v>
      </c>
      <c r="S13" s="46">
        <v>3330</v>
      </c>
      <c r="T13" s="46">
        <v>-5549</v>
      </c>
      <c r="U13" s="46">
        <v>-5932</v>
      </c>
      <c r="V13" s="46">
        <v>4776</v>
      </c>
      <c r="W13" s="46">
        <v>4664</v>
      </c>
      <c r="Y13" t="s">
        <v>162</v>
      </c>
      <c r="AA13" s="46">
        <v>2643</v>
      </c>
      <c r="AB13" s="46">
        <v>-12182</v>
      </c>
      <c r="AC13" s="46">
        <v>3950</v>
      </c>
      <c r="AD13">
        <v>-222</v>
      </c>
      <c r="AE13" s="46">
        <v>17435</v>
      </c>
      <c r="AH13" t="s">
        <v>162</v>
      </c>
      <c r="AJ13" s="46">
        <v>307891</v>
      </c>
      <c r="AK13" s="46">
        <v>149631</v>
      </c>
      <c r="AL13" s="46">
        <v>252052</v>
      </c>
      <c r="AM13" s="46">
        <v>232382</v>
      </c>
      <c r="AN13" s="46">
        <v>236821</v>
      </c>
      <c r="AO13" s="46"/>
      <c r="AP13" s="46"/>
      <c r="AR13" t="s">
        <v>19</v>
      </c>
      <c r="AS13" s="163">
        <f>+AS11*0.23</f>
        <v>25054613.046</v>
      </c>
      <c r="BB13" t="s">
        <v>74</v>
      </c>
      <c r="BD13" s="46">
        <v>20791</v>
      </c>
      <c r="BE13" s="46">
        <v>7331</v>
      </c>
      <c r="BF13" s="46">
        <v>35728</v>
      </c>
      <c r="BG13" s="46">
        <v>33424</v>
      </c>
      <c r="BH13" s="46">
        <v>43002</v>
      </c>
    </row>
    <row r="14" spans="1:60">
      <c r="A14" t="s">
        <v>74</v>
      </c>
      <c r="C14" s="46">
        <v>15264</v>
      </c>
      <c r="D14" s="46">
        <v>-2906</v>
      </c>
      <c r="E14" s="46">
        <v>2137</v>
      </c>
      <c r="F14" s="46">
        <v>-2588</v>
      </c>
      <c r="G14" s="46">
        <v>28633</v>
      </c>
      <c r="I14" t="s">
        <v>74</v>
      </c>
      <c r="K14" s="46">
        <v>17520</v>
      </c>
      <c r="L14" s="46">
        <v>3981</v>
      </c>
      <c r="M14" s="46">
        <v>7383</v>
      </c>
      <c r="N14" s="46">
        <v>7879</v>
      </c>
      <c r="O14" s="46">
        <v>11087</v>
      </c>
      <c r="Q14" t="s">
        <v>74</v>
      </c>
      <c r="S14">
        <v>614</v>
      </c>
      <c r="T14">
        <v>-866</v>
      </c>
      <c r="U14" s="46">
        <v>-1137</v>
      </c>
      <c r="V14">
        <v>770</v>
      </c>
      <c r="W14">
        <v>747</v>
      </c>
      <c r="Y14" t="s">
        <v>74</v>
      </c>
      <c r="AA14">
        <v>476</v>
      </c>
      <c r="AB14">
        <v>3</v>
      </c>
      <c r="AC14">
        <v>713</v>
      </c>
      <c r="AD14">
        <v>-40</v>
      </c>
      <c r="AE14" s="46">
        <v>3138</v>
      </c>
      <c r="AH14" t="s">
        <v>74</v>
      </c>
      <c r="AJ14" s="46">
        <v>55421</v>
      </c>
      <c r="AK14" s="46">
        <v>30611</v>
      </c>
      <c r="AL14" s="46">
        <v>44977</v>
      </c>
      <c r="AM14" s="46">
        <v>41278</v>
      </c>
      <c r="AN14" s="46">
        <v>43039</v>
      </c>
      <c r="AO14" s="46"/>
      <c r="AP14" s="46"/>
      <c r="AU14" t="s">
        <v>182</v>
      </c>
      <c r="BB14" t="s">
        <v>163</v>
      </c>
      <c r="BD14" s="46">
        <v>91738</v>
      </c>
      <c r="BE14" s="46">
        <v>29415</v>
      </c>
      <c r="BF14" s="46">
        <v>162761</v>
      </c>
      <c r="BG14" s="46">
        <v>152154</v>
      </c>
      <c r="BH14" s="46">
        <v>195175</v>
      </c>
    </row>
    <row r="15" spans="1:60">
      <c r="A15" t="s">
        <v>163</v>
      </c>
      <c r="C15" s="46">
        <v>69197</v>
      </c>
      <c r="D15" s="46">
        <v>-13418</v>
      </c>
      <c r="E15" s="46">
        <v>9698</v>
      </c>
      <c r="F15" s="46">
        <v>-1921</v>
      </c>
      <c r="G15" s="46">
        <v>135118</v>
      </c>
      <c r="I15" t="s">
        <v>163</v>
      </c>
      <c r="K15" s="46">
        <v>79822</v>
      </c>
      <c r="L15" s="46">
        <v>18519</v>
      </c>
      <c r="M15" s="46">
        <v>33632</v>
      </c>
      <c r="N15" s="46">
        <v>35892</v>
      </c>
      <c r="O15" s="46">
        <v>50506</v>
      </c>
      <c r="Q15" t="s">
        <v>163</v>
      </c>
      <c r="S15" s="46">
        <v>2716</v>
      </c>
      <c r="T15" s="46">
        <v>-4683</v>
      </c>
      <c r="U15" s="46">
        <v>-4795</v>
      </c>
      <c r="V15" s="46">
        <v>4006</v>
      </c>
      <c r="W15" s="46">
        <v>3917</v>
      </c>
      <c r="Y15" t="s">
        <v>163</v>
      </c>
      <c r="AA15" s="46">
        <v>2167</v>
      </c>
      <c r="AB15" s="46">
        <v>-12185</v>
      </c>
      <c r="AC15" s="46">
        <v>3237</v>
      </c>
      <c r="AD15">
        <v>-182</v>
      </c>
      <c r="AE15" s="46">
        <v>14297</v>
      </c>
      <c r="AH15" t="s">
        <v>163</v>
      </c>
      <c r="AJ15" s="46">
        <v>252470</v>
      </c>
      <c r="AK15" s="46">
        <v>119020</v>
      </c>
      <c r="AL15" s="46">
        <v>207075</v>
      </c>
      <c r="AM15" s="46">
        <v>191104</v>
      </c>
      <c r="AN15" s="46">
        <v>193782</v>
      </c>
      <c r="AP15" s="46"/>
      <c r="AQ15" t="s">
        <v>181</v>
      </c>
      <c r="AS15" s="163">
        <v>60000000</v>
      </c>
      <c r="AT15" t="s">
        <v>128</v>
      </c>
      <c r="AU15">
        <v>90</v>
      </c>
      <c r="AW15" s="163">
        <f>+AS15*AU15</f>
        <v>5400000000</v>
      </c>
      <c r="BB15" t="s">
        <v>164</v>
      </c>
      <c r="BD15">
        <v>2021</v>
      </c>
      <c r="BE15">
        <v>2020</v>
      </c>
      <c r="BF15">
        <v>2019</v>
      </c>
      <c r="BG15">
        <v>2018</v>
      </c>
      <c r="BH15">
        <v>2017</v>
      </c>
    </row>
    <row r="16" spans="1:60">
      <c r="A16" t="s">
        <v>164</v>
      </c>
      <c r="C16">
        <v>2021</v>
      </c>
      <c r="D16">
        <v>2020</v>
      </c>
      <c r="E16">
        <v>2019</v>
      </c>
      <c r="F16">
        <v>2018</v>
      </c>
      <c r="G16">
        <v>2017</v>
      </c>
      <c r="I16" t="s">
        <v>164</v>
      </c>
      <c r="K16">
        <v>2021</v>
      </c>
      <c r="L16">
        <v>2020</v>
      </c>
      <c r="M16">
        <v>2019</v>
      </c>
      <c r="N16">
        <v>2018</v>
      </c>
      <c r="O16">
        <v>2017</v>
      </c>
      <c r="Q16" t="s">
        <v>164</v>
      </c>
      <c r="S16">
        <v>2021</v>
      </c>
      <c r="T16">
        <v>2020</v>
      </c>
      <c r="U16">
        <v>2019</v>
      </c>
      <c r="V16">
        <v>2018</v>
      </c>
      <c r="W16">
        <v>2017</v>
      </c>
      <c r="Y16" t="s">
        <v>164</v>
      </c>
      <c r="AA16">
        <v>2022</v>
      </c>
      <c r="AB16">
        <v>2021</v>
      </c>
      <c r="AC16">
        <v>2020</v>
      </c>
      <c r="AD16">
        <v>2019</v>
      </c>
      <c r="AE16">
        <v>2018</v>
      </c>
      <c r="AH16" t="s">
        <v>164</v>
      </c>
      <c r="AJ16">
        <v>2021</v>
      </c>
      <c r="AK16">
        <v>2020</v>
      </c>
      <c r="AL16">
        <v>2019</v>
      </c>
      <c r="AM16">
        <v>2018</v>
      </c>
      <c r="AN16">
        <v>2017</v>
      </c>
      <c r="AV16" t="s">
        <v>183</v>
      </c>
      <c r="AW16" s="163">
        <v>964036</v>
      </c>
      <c r="AX16">
        <v>728423</v>
      </c>
      <c r="BB16" t="s">
        <v>165</v>
      </c>
      <c r="BD16" s="46">
        <v>743668</v>
      </c>
      <c r="BE16" s="46">
        <v>703229</v>
      </c>
      <c r="BF16" s="46">
        <v>758850</v>
      </c>
      <c r="BG16" s="46">
        <v>723816</v>
      </c>
      <c r="BH16" s="46">
        <v>591472</v>
      </c>
    </row>
    <row r="17" spans="1:60">
      <c r="A17" t="s">
        <v>165</v>
      </c>
      <c r="C17">
        <v>646810</v>
      </c>
      <c r="D17">
        <v>667156</v>
      </c>
      <c r="E17">
        <v>683413</v>
      </c>
      <c r="F17">
        <v>632547</v>
      </c>
      <c r="G17">
        <v>314454</v>
      </c>
      <c r="I17" t="s">
        <v>165</v>
      </c>
      <c r="K17">
        <v>129465</v>
      </c>
      <c r="L17">
        <v>133813</v>
      </c>
      <c r="M17">
        <v>155469</v>
      </c>
      <c r="N17">
        <v>178215</v>
      </c>
      <c r="O17">
        <v>200372</v>
      </c>
      <c r="Q17" t="s">
        <v>165</v>
      </c>
      <c r="S17">
        <v>2559</v>
      </c>
      <c r="T17">
        <v>4054</v>
      </c>
      <c r="U17">
        <v>4463</v>
      </c>
      <c r="V17">
        <v>2594</v>
      </c>
      <c r="W17">
        <v>2204</v>
      </c>
      <c r="Y17" t="s">
        <v>165</v>
      </c>
      <c r="AA17">
        <v>179</v>
      </c>
      <c r="AB17">
        <v>258</v>
      </c>
      <c r="AC17">
        <v>189</v>
      </c>
      <c r="AD17">
        <v>240</v>
      </c>
      <c r="AE17">
        <v>49</v>
      </c>
      <c r="AH17" t="s">
        <v>165</v>
      </c>
      <c r="AJ17">
        <v>465494</v>
      </c>
      <c r="AK17" s="46">
        <v>437701</v>
      </c>
      <c r="AL17" s="46">
        <v>479050</v>
      </c>
      <c r="AM17" s="46">
        <v>479444</v>
      </c>
      <c r="AN17" s="46">
        <v>454501</v>
      </c>
      <c r="AO17" s="46"/>
      <c r="AP17" s="46"/>
      <c r="AV17" s="2" t="s">
        <v>184</v>
      </c>
      <c r="AW17" s="163">
        <f>+AW16*0.23</f>
        <v>221728.28</v>
      </c>
      <c r="AX17" s="163">
        <f>+AX16*0.23</f>
        <v>167537.29</v>
      </c>
      <c r="AZ17" s="46">
        <v>194382</v>
      </c>
      <c r="BB17" t="s">
        <v>166</v>
      </c>
      <c r="BD17" s="46">
        <v>547584</v>
      </c>
      <c r="BE17" s="46">
        <v>508263</v>
      </c>
      <c r="BF17" s="46">
        <v>463608</v>
      </c>
      <c r="BG17" s="46">
        <v>386087</v>
      </c>
      <c r="BH17" s="46">
        <v>304865</v>
      </c>
    </row>
    <row r="18" spans="1:60">
      <c r="A18" s="176" t="s">
        <v>166</v>
      </c>
      <c r="B18" s="176"/>
      <c r="C18" s="177">
        <v>350561</v>
      </c>
      <c r="D18" s="177">
        <v>229606</v>
      </c>
      <c r="E18" s="177">
        <v>211938</v>
      </c>
      <c r="F18" s="177">
        <v>337107</v>
      </c>
      <c r="G18" s="177">
        <v>328875</v>
      </c>
      <c r="H18" s="176"/>
      <c r="I18" s="176" t="s">
        <v>166</v>
      </c>
      <c r="J18" s="176"/>
      <c r="K18" s="177">
        <v>369217</v>
      </c>
      <c r="L18" s="177">
        <v>197785</v>
      </c>
      <c r="M18" s="177">
        <v>208863</v>
      </c>
      <c r="N18" s="177">
        <v>229667</v>
      </c>
      <c r="O18" s="177">
        <v>236425</v>
      </c>
      <c r="P18" s="176"/>
      <c r="Q18" s="176" t="s">
        <v>166</v>
      </c>
      <c r="R18" s="176"/>
      <c r="S18" s="177">
        <v>73447</v>
      </c>
      <c r="T18" s="177">
        <v>144360</v>
      </c>
      <c r="U18" s="177">
        <v>133207</v>
      </c>
      <c r="V18" s="177">
        <v>145475</v>
      </c>
      <c r="W18" s="177">
        <v>210316</v>
      </c>
      <c r="X18" s="176"/>
      <c r="Y18" s="176" t="s">
        <v>166</v>
      </c>
      <c r="Z18" s="176"/>
      <c r="AA18" s="176">
        <v>251468</v>
      </c>
      <c r="AB18" s="176">
        <v>229307</v>
      </c>
      <c r="AC18" s="176">
        <v>212335</v>
      </c>
      <c r="AD18" s="176">
        <v>214014</v>
      </c>
      <c r="AE18" s="176">
        <v>183922</v>
      </c>
      <c r="AF18" s="176"/>
      <c r="AG18" s="176"/>
      <c r="AH18" s="176" t="s">
        <v>166</v>
      </c>
      <c r="AI18" s="176"/>
      <c r="AJ18" s="177">
        <v>434170</v>
      </c>
      <c r="AK18" s="46">
        <v>603650</v>
      </c>
      <c r="AL18" s="46">
        <v>463078</v>
      </c>
      <c r="AM18" s="46">
        <v>340935</v>
      </c>
      <c r="AN18" s="46">
        <v>391530</v>
      </c>
      <c r="AO18" s="46"/>
      <c r="AP18" s="46"/>
      <c r="AS18" s="163">
        <v>80000000</v>
      </c>
      <c r="AT18">
        <v>50</v>
      </c>
      <c r="BB18" t="s">
        <v>167</v>
      </c>
      <c r="BD18" s="46">
        <v>1291252</v>
      </c>
      <c r="BE18" s="46">
        <v>1211492</v>
      </c>
      <c r="BF18" s="46">
        <v>1222458</v>
      </c>
      <c r="BG18" s="46">
        <v>1109903</v>
      </c>
      <c r="BH18" s="46">
        <v>896337</v>
      </c>
    </row>
    <row r="19" spans="1:60">
      <c r="A19" t="s">
        <v>167</v>
      </c>
      <c r="C19" s="46">
        <v>997371</v>
      </c>
      <c r="D19" s="46">
        <v>896762</v>
      </c>
      <c r="E19" s="46">
        <v>895351</v>
      </c>
      <c r="F19" s="46">
        <v>969654</v>
      </c>
      <c r="G19" s="46">
        <v>643329</v>
      </c>
      <c r="I19" t="s">
        <v>167</v>
      </c>
      <c r="K19" s="46">
        <v>498682</v>
      </c>
      <c r="L19" s="46">
        <v>331598</v>
      </c>
      <c r="M19" s="46">
        <v>364332</v>
      </c>
      <c r="N19" s="46">
        <v>407882</v>
      </c>
      <c r="O19" s="46">
        <v>436797</v>
      </c>
      <c r="Q19" t="s">
        <v>167</v>
      </c>
      <c r="S19" s="46">
        <v>76006</v>
      </c>
      <c r="T19" s="46">
        <v>148414</v>
      </c>
      <c r="U19" s="46">
        <v>137670</v>
      </c>
      <c r="V19" s="46">
        <v>148069</v>
      </c>
      <c r="W19" s="46">
        <v>212520</v>
      </c>
      <c r="Y19" t="s">
        <v>167</v>
      </c>
      <c r="AA19" s="46">
        <v>251647</v>
      </c>
      <c r="AB19" s="46">
        <v>229565</v>
      </c>
      <c r="AC19" s="46">
        <v>212524</v>
      </c>
      <c r="AD19" s="46">
        <v>214254</v>
      </c>
      <c r="AE19" s="46">
        <v>183971</v>
      </c>
      <c r="AH19" t="s">
        <v>167</v>
      </c>
      <c r="AJ19" s="46">
        <v>899664</v>
      </c>
      <c r="AK19" s="46">
        <v>1041351</v>
      </c>
      <c r="AL19" s="46">
        <v>942128</v>
      </c>
      <c r="AM19" s="46">
        <v>820379</v>
      </c>
      <c r="AN19" s="46">
        <v>846031</v>
      </c>
      <c r="AO19" s="46"/>
      <c r="AP19" s="46"/>
    </row>
    <row r="20" spans="1:60">
      <c r="AQ20" t="s">
        <v>178</v>
      </c>
      <c r="AR20" s="161">
        <v>0.75</v>
      </c>
      <c r="AS20">
        <f>+AS18*AR20</f>
        <v>60000000</v>
      </c>
    </row>
    <row r="21" spans="1:60">
      <c r="BD21" s="46">
        <f>+BD4+BD10</f>
        <v>226559</v>
      </c>
    </row>
    <row r="22" spans="1:60">
      <c r="C22" s="46">
        <f>+C5+C11</f>
        <v>147267</v>
      </c>
      <c r="K22" s="46">
        <f>+K5+K11</f>
        <v>138371</v>
      </c>
      <c r="S22" s="46">
        <f>+S5+S11</f>
        <v>6946</v>
      </c>
      <c r="AB22" s="46">
        <f>+AB5+AB11</f>
        <v>8266</v>
      </c>
      <c r="AJ22" s="46"/>
      <c r="AO22" s="46">
        <f>+AO5+AO11</f>
        <v>1692459</v>
      </c>
      <c r="AP22" s="46"/>
      <c r="BD22" s="46">
        <f>+BD17/80*10</f>
        <v>68448</v>
      </c>
    </row>
    <row r="23" spans="1:60">
      <c r="C23" s="46">
        <f>+C18/100*10</f>
        <v>35056.1</v>
      </c>
      <c r="K23" s="46">
        <f>+K18/100*10</f>
        <v>36921.699999999997</v>
      </c>
      <c r="S23" s="46">
        <f>+S18/100*10</f>
        <v>7344.7000000000007</v>
      </c>
      <c r="AB23" s="46">
        <f>+AB18/100*10</f>
        <v>22930.7</v>
      </c>
      <c r="AJ23" s="46">
        <f>+AJ18/100*10</f>
        <v>43417</v>
      </c>
    </row>
    <row r="24" spans="1:60">
      <c r="BD24" s="46">
        <f>+BD22+BD21</f>
        <v>295007</v>
      </c>
    </row>
    <row r="25" spans="1:60" ht="16" thickBot="1">
      <c r="C25" s="46">
        <f>+C23+C22</f>
        <v>182323.1</v>
      </c>
      <c r="K25" s="46">
        <f>+K23+K22</f>
        <v>175292.7</v>
      </c>
      <c r="S25" s="46">
        <f>+S23+S22</f>
        <v>14290.7</v>
      </c>
      <c r="AB25" s="46">
        <f>+AB23+AB22</f>
        <v>31196.7</v>
      </c>
      <c r="AJ25" s="46">
        <f>+AJ23+AJ22</f>
        <v>43417</v>
      </c>
      <c r="AO25" s="46">
        <f>+AO22*0.4</f>
        <v>676983.60000000009</v>
      </c>
      <c r="AP25" t="s">
        <v>211</v>
      </c>
    </row>
    <row r="26" spans="1:60">
      <c r="P26" s="178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403" t="s">
        <v>186</v>
      </c>
      <c r="AC26" s="404"/>
      <c r="AD26" s="404"/>
      <c r="AE26" s="404"/>
      <c r="AF26" s="404"/>
      <c r="AG26" s="405"/>
      <c r="AH26" s="179"/>
      <c r="AI26" s="179"/>
      <c r="AJ26" s="179"/>
      <c r="AK26" s="179"/>
      <c r="AL26" s="179"/>
      <c r="AM26" s="179"/>
      <c r="AN26" s="179"/>
      <c r="AO26" s="403" t="s">
        <v>202</v>
      </c>
      <c r="AP26" s="404"/>
      <c r="AQ26" s="405"/>
      <c r="AR26" s="180"/>
      <c r="BD26">
        <f>+BD21*0.2*0.4</f>
        <v>18124.72</v>
      </c>
    </row>
    <row r="27" spans="1:60">
      <c r="P27" s="181"/>
      <c r="AB27" s="182">
        <f>SUM(B24:AB25)</f>
        <v>403103.20000000007</v>
      </c>
      <c r="AC27" s="4"/>
      <c r="AD27" s="4"/>
      <c r="AE27" s="4"/>
      <c r="AF27" s="50">
        <f>+(AR31+AR32)/1000</f>
        <v>168586.89600000001</v>
      </c>
      <c r="AG27" s="183">
        <f>+AB27/AF27</f>
        <v>2.3910707745636413</v>
      </c>
      <c r="AH27" s="183"/>
      <c r="AI27" s="183"/>
      <c r="AJ27" s="183"/>
      <c r="AO27" s="182">
        <f>SUM(AO25)</f>
        <v>676983.60000000009</v>
      </c>
      <c r="AP27" s="50">
        <f>+AR33/1000</f>
        <v>171602.52600000001</v>
      </c>
      <c r="AQ27" s="183">
        <f>+AO27/AP27</f>
        <v>3.9450678016243188</v>
      </c>
      <c r="AR27" s="184"/>
    </row>
    <row r="28" spans="1:60">
      <c r="P28" s="181"/>
      <c r="AR28" s="185"/>
    </row>
    <row r="29" spans="1:60">
      <c r="P29" s="181"/>
      <c r="AR29" s="185"/>
    </row>
    <row r="30" spans="1:60">
      <c r="P30" s="181"/>
      <c r="AP30" s="6" t="s">
        <v>19</v>
      </c>
      <c r="AQ30" s="6" t="s">
        <v>192</v>
      </c>
      <c r="AR30" s="186" t="s">
        <v>193</v>
      </c>
    </row>
    <row r="31" spans="1:60">
      <c r="P31" s="181"/>
      <c r="AB31" s="344" t="s">
        <v>187</v>
      </c>
      <c r="AC31" s="345"/>
      <c r="AD31" s="345"/>
      <c r="AE31" s="345"/>
      <c r="AF31" s="345"/>
      <c r="AG31" s="346"/>
      <c r="AO31" s="4" t="s">
        <v>175</v>
      </c>
      <c r="AP31" s="50">
        <f>+BD42+BD49</f>
        <v>99944272</v>
      </c>
      <c r="AQ31" s="187">
        <v>10166578</v>
      </c>
      <c r="AR31" s="188">
        <f>+AP31-AQ31</f>
        <v>89777694</v>
      </c>
    </row>
    <row r="32" spans="1:60">
      <c r="P32" s="181"/>
      <c r="AB32" s="189">
        <f>+AB27+AO27</f>
        <v>1080086.8000000003</v>
      </c>
      <c r="AC32" s="189">
        <f t="shared" ref="AC32:AE32" si="0">+AC27+AP27</f>
        <v>171602.52600000001</v>
      </c>
      <c r="AD32" s="189">
        <f t="shared" si="0"/>
        <v>3.9450678016243188</v>
      </c>
      <c r="AE32" s="189">
        <f t="shared" si="0"/>
        <v>0</v>
      </c>
      <c r="AF32" s="189">
        <f>+AF27+AP27</f>
        <v>340189.42200000002</v>
      </c>
      <c r="AG32" s="183">
        <f>+AB32/AF32</f>
        <v>3.174957039081598</v>
      </c>
      <c r="AO32" s="4" t="s">
        <v>145</v>
      </c>
      <c r="AP32" s="50">
        <f>+BD43+BD50</f>
        <v>86014113</v>
      </c>
      <c r="AQ32" s="187">
        <v>7204911</v>
      </c>
      <c r="AR32" s="188">
        <f>+AP32-AQ32</f>
        <v>78809202</v>
      </c>
    </row>
    <row r="33" spans="1:56">
      <c r="P33" s="181"/>
      <c r="AO33" s="4" t="s">
        <v>176</v>
      </c>
      <c r="AP33" s="50">
        <f>+BD44+BD51</f>
        <v>181555167</v>
      </c>
      <c r="AQ33" s="46">
        <v>9952641</v>
      </c>
      <c r="AR33" s="188">
        <f>+AP33-AQ33</f>
        <v>171602526</v>
      </c>
    </row>
    <row r="34" spans="1:56">
      <c r="P34" s="181"/>
      <c r="S34" s="4" t="s">
        <v>188</v>
      </c>
      <c r="T34" s="4"/>
      <c r="U34" s="4"/>
      <c r="V34" s="4"/>
      <c r="W34" s="4"/>
      <c r="X34" s="4"/>
      <c r="Y34" s="4"/>
      <c r="Z34" s="4"/>
      <c r="AA34" s="4"/>
      <c r="AB34" s="4"/>
      <c r="AR34" s="185"/>
      <c r="AT34" s="46"/>
    </row>
    <row r="35" spans="1:56">
      <c r="P35" s="181"/>
      <c r="S35">
        <v>1</v>
      </c>
      <c r="X35" t="s">
        <v>189</v>
      </c>
      <c r="AR35" s="185"/>
    </row>
    <row r="36" spans="1:56">
      <c r="P36" s="181"/>
      <c r="S36">
        <v>2</v>
      </c>
      <c r="X36" t="s">
        <v>190</v>
      </c>
      <c r="AR36" s="185"/>
    </row>
    <row r="37" spans="1:56">
      <c r="P37" s="181"/>
      <c r="X37" s="228" t="s">
        <v>212</v>
      </c>
      <c r="AR37" s="185"/>
    </row>
    <row r="38" spans="1:56">
      <c r="P38" s="181"/>
      <c r="S38">
        <v>3</v>
      </c>
      <c r="X38" t="s">
        <v>191</v>
      </c>
      <c r="AR38" s="185"/>
    </row>
    <row r="39" spans="1:56">
      <c r="P39" s="181"/>
      <c r="X39" t="s">
        <v>213</v>
      </c>
      <c r="AR39" s="185"/>
    </row>
    <row r="40" spans="1:56" ht="16" thickBot="1">
      <c r="P40" s="181"/>
      <c r="AR40" s="185"/>
    </row>
    <row r="41" spans="1:56">
      <c r="P41" s="181"/>
      <c r="AR41" s="185"/>
      <c r="AU41" s="164"/>
      <c r="AV41" s="165">
        <v>3232</v>
      </c>
      <c r="AW41" s="166"/>
      <c r="AX41" s="166"/>
      <c r="AY41" s="165">
        <v>1515</v>
      </c>
      <c r="AZ41" s="165">
        <v>8759</v>
      </c>
      <c r="BA41" s="167"/>
      <c r="BB41" s="167"/>
      <c r="BC41" s="167"/>
      <c r="BD41" s="168"/>
    </row>
    <row r="42" spans="1:56">
      <c r="P42" s="181"/>
      <c r="AR42" s="185"/>
      <c r="AU42" s="169" t="s">
        <v>12</v>
      </c>
      <c r="AV42" s="132">
        <v>5121192</v>
      </c>
      <c r="AW42" s="132">
        <v>1539602</v>
      </c>
      <c r="AX42" s="132">
        <v>8307554</v>
      </c>
      <c r="AY42" s="132">
        <v>5610745</v>
      </c>
      <c r="AZ42" s="132">
        <v>4895289</v>
      </c>
      <c r="BA42" s="132">
        <v>10166578</v>
      </c>
      <c r="BB42" s="132">
        <v>6592670</v>
      </c>
      <c r="BC42" s="132">
        <v>565099</v>
      </c>
      <c r="BD42" s="170">
        <v>42798729</v>
      </c>
    </row>
    <row r="43" spans="1:56">
      <c r="P43" s="181"/>
      <c r="S43" s="3" t="s">
        <v>175</v>
      </c>
      <c r="X43" s="183">
        <v>2.39</v>
      </c>
      <c r="AB43" s="4" t="s">
        <v>20</v>
      </c>
      <c r="AR43" s="185"/>
      <c r="AU43" s="171" t="s">
        <v>1</v>
      </c>
      <c r="AV43" s="136">
        <v>10293352</v>
      </c>
      <c r="AW43" s="136">
        <v>4855521</v>
      </c>
      <c r="AX43" s="136">
        <v>10511965</v>
      </c>
      <c r="AY43" s="136">
        <v>3388644</v>
      </c>
      <c r="AZ43" s="136">
        <v>4920847</v>
      </c>
      <c r="BA43" s="136">
        <v>7204911</v>
      </c>
      <c r="BB43" s="136">
        <v>6636079</v>
      </c>
      <c r="BC43" s="136">
        <v>4795906</v>
      </c>
      <c r="BD43" s="172">
        <v>52607226</v>
      </c>
    </row>
    <row r="44" spans="1:56">
      <c r="P44" s="181"/>
      <c r="S44" s="3" t="s">
        <v>145</v>
      </c>
      <c r="X44" s="183">
        <v>2.39</v>
      </c>
      <c r="AB44" s="4" t="s">
        <v>20</v>
      </c>
      <c r="AR44" s="185"/>
      <c r="AU44" s="169" t="s">
        <v>173</v>
      </c>
      <c r="AV44" s="132">
        <v>18683592</v>
      </c>
      <c r="AW44" s="132">
        <v>1520961</v>
      </c>
      <c r="AX44" s="132">
        <v>13149788</v>
      </c>
      <c r="AY44" s="132">
        <v>2529349</v>
      </c>
      <c r="AZ44" s="132">
        <v>9549713</v>
      </c>
      <c r="BA44" s="132">
        <v>9952641</v>
      </c>
      <c r="BB44" s="132">
        <v>17337896</v>
      </c>
      <c r="BC44" s="132">
        <v>11635424</v>
      </c>
      <c r="BD44" s="170">
        <v>84359364</v>
      </c>
    </row>
    <row r="45" spans="1:56" ht="16" thickBot="1">
      <c r="P45" s="190"/>
      <c r="Q45" s="191"/>
      <c r="R45" s="191"/>
      <c r="S45" s="192" t="s">
        <v>176</v>
      </c>
      <c r="T45" s="191"/>
      <c r="U45" s="191"/>
      <c r="V45" s="191"/>
      <c r="W45" s="191"/>
      <c r="X45" s="193">
        <v>4.46</v>
      </c>
      <c r="Y45" s="191"/>
      <c r="Z45" s="191"/>
      <c r="AA45" s="191"/>
      <c r="AB45" s="194" t="s">
        <v>20</v>
      </c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5"/>
      <c r="AU45" s="173" t="s">
        <v>174</v>
      </c>
      <c r="AV45" s="174"/>
      <c r="AW45" s="174"/>
      <c r="AX45" s="146">
        <v>1591250</v>
      </c>
      <c r="AY45" s="174"/>
      <c r="AZ45" s="174"/>
      <c r="BA45" s="146">
        <v>1537880</v>
      </c>
      <c r="BB45" s="174"/>
      <c r="BC45" s="174"/>
      <c r="BD45" s="175">
        <v>3129130</v>
      </c>
    </row>
    <row r="46" spans="1:56">
      <c r="A46" t="s">
        <v>296</v>
      </c>
    </row>
    <row r="47" spans="1:56" ht="16" thickBot="1">
      <c r="C47" s="5" t="s">
        <v>251</v>
      </c>
      <c r="H47" s="5"/>
      <c r="I47" s="5"/>
      <c r="J47" s="5"/>
      <c r="K47" s="5" t="s">
        <v>253</v>
      </c>
      <c r="L47" s="5"/>
      <c r="M47" s="5"/>
      <c r="N47" s="5"/>
      <c r="O47" s="5"/>
      <c r="P47" s="5" t="s">
        <v>254</v>
      </c>
    </row>
    <row r="48" spans="1:56">
      <c r="C48" s="5" t="s">
        <v>252</v>
      </c>
      <c r="H48" s="5" t="s">
        <v>170</v>
      </c>
      <c r="I48" s="5"/>
      <c r="J48" s="5"/>
      <c r="K48" s="5" t="s">
        <v>252</v>
      </c>
      <c r="L48" s="5"/>
      <c r="M48" s="5"/>
      <c r="N48" s="5"/>
      <c r="O48" s="5"/>
      <c r="P48" s="5" t="s">
        <v>252</v>
      </c>
      <c r="X48" s="5" t="s">
        <v>258</v>
      </c>
      <c r="AU48" s="164"/>
      <c r="AV48" s="165">
        <v>24768</v>
      </c>
      <c r="AW48" s="166"/>
      <c r="AX48" s="165">
        <v>6974</v>
      </c>
      <c r="AY48" s="165">
        <v>3027</v>
      </c>
      <c r="AZ48" s="166"/>
      <c r="BA48" s="165">
        <v>34769</v>
      </c>
      <c r="BB48" s="167"/>
      <c r="BC48" s="167"/>
      <c r="BD48" s="168"/>
    </row>
    <row r="49" spans="1:56">
      <c r="C49" s="6">
        <v>2021</v>
      </c>
      <c r="H49" s="6">
        <v>2021</v>
      </c>
      <c r="I49" s="6"/>
      <c r="J49" s="6"/>
      <c r="K49" s="6">
        <v>2021</v>
      </c>
      <c r="L49" s="6"/>
      <c r="M49" s="6"/>
      <c r="N49" s="6"/>
      <c r="O49" s="6"/>
      <c r="P49" s="6">
        <v>2021</v>
      </c>
      <c r="X49" s="6" t="s">
        <v>18</v>
      </c>
      <c r="AU49" s="169" t="s">
        <v>12</v>
      </c>
      <c r="AV49" s="132">
        <v>4039389</v>
      </c>
      <c r="AW49" s="132">
        <v>5365694</v>
      </c>
      <c r="AX49" s="132">
        <v>3787647</v>
      </c>
      <c r="AY49" s="132">
        <v>5964291</v>
      </c>
      <c r="AZ49" s="132">
        <v>7365721</v>
      </c>
      <c r="BA49" s="132">
        <v>12017062</v>
      </c>
      <c r="BB49" s="132">
        <v>11912098</v>
      </c>
      <c r="BC49" s="132">
        <v>6693641</v>
      </c>
      <c r="BD49" s="170">
        <v>57145543</v>
      </c>
    </row>
    <row r="50" spans="1:56">
      <c r="B50" s="2" t="s">
        <v>154</v>
      </c>
      <c r="C50" s="46">
        <f>+C5</f>
        <v>62806</v>
      </c>
      <c r="H50" s="46">
        <f>+K5</f>
        <v>41029</v>
      </c>
      <c r="K50" s="46">
        <f>+S5</f>
        <v>3616</v>
      </c>
      <c r="P50" s="46">
        <f>+AB5</f>
        <v>20448</v>
      </c>
      <c r="AU50" s="171" t="s">
        <v>1</v>
      </c>
      <c r="AV50" s="138"/>
      <c r="AW50" s="136">
        <v>6326734</v>
      </c>
      <c r="AX50" s="138"/>
      <c r="AY50" s="136">
        <v>6421502</v>
      </c>
      <c r="AZ50" s="136">
        <v>4063714</v>
      </c>
      <c r="BA50" s="136">
        <v>7877497</v>
      </c>
      <c r="BB50" s="136">
        <v>8717440</v>
      </c>
      <c r="BC50" s="138"/>
      <c r="BD50" s="172">
        <v>33406887</v>
      </c>
    </row>
    <row r="51" spans="1:56">
      <c r="B51" s="2" t="s">
        <v>160</v>
      </c>
      <c r="C51" s="48">
        <f>+C11</f>
        <v>84461</v>
      </c>
      <c r="D51" s="1"/>
      <c r="E51" s="1"/>
      <c r="F51" s="1"/>
      <c r="G51" s="1"/>
      <c r="H51" s="48">
        <f>+K11</f>
        <v>97342</v>
      </c>
      <c r="I51" s="1"/>
      <c r="J51" s="1"/>
      <c r="K51" s="48">
        <f>+S11</f>
        <v>3330</v>
      </c>
      <c r="L51" s="1"/>
      <c r="M51" s="1"/>
      <c r="N51" s="1"/>
      <c r="O51" s="1"/>
      <c r="P51" s="48">
        <f>+AB11</f>
        <v>-12182</v>
      </c>
      <c r="AU51" s="169" t="s">
        <v>173</v>
      </c>
      <c r="AV51" s="132">
        <v>189783</v>
      </c>
      <c r="AW51" s="132">
        <v>17863516</v>
      </c>
      <c r="AX51" s="132">
        <v>278836</v>
      </c>
      <c r="AY51" s="132">
        <v>15686404</v>
      </c>
      <c r="AZ51" s="132">
        <v>21033331</v>
      </c>
      <c r="BA51" s="132">
        <v>24096556</v>
      </c>
      <c r="BB51" s="132">
        <v>16882202</v>
      </c>
      <c r="BC51" s="132">
        <v>1165175</v>
      </c>
      <c r="BD51" s="170">
        <v>97195803</v>
      </c>
    </row>
    <row r="52" spans="1:56" ht="16" thickBot="1">
      <c r="B52" s="4" t="s">
        <v>18</v>
      </c>
      <c r="C52" s="50">
        <f>+C50+C51</f>
        <v>147267</v>
      </c>
      <c r="D52" s="50">
        <f t="shared" ref="D52:P52" si="1">+D50+D51</f>
        <v>0</v>
      </c>
      <c r="E52" s="50">
        <f t="shared" si="1"/>
        <v>0</v>
      </c>
      <c r="F52" s="50">
        <f t="shared" si="1"/>
        <v>0</v>
      </c>
      <c r="G52" s="50">
        <f t="shared" si="1"/>
        <v>0</v>
      </c>
      <c r="H52" s="50">
        <f t="shared" si="1"/>
        <v>138371</v>
      </c>
      <c r="I52" s="50">
        <f t="shared" si="1"/>
        <v>0</v>
      </c>
      <c r="J52" s="50">
        <f t="shared" si="1"/>
        <v>0</v>
      </c>
      <c r="K52" s="50">
        <f t="shared" si="1"/>
        <v>6946</v>
      </c>
      <c r="L52" s="50">
        <f t="shared" si="1"/>
        <v>0</v>
      </c>
      <c r="M52" s="50">
        <f t="shared" si="1"/>
        <v>0</v>
      </c>
      <c r="N52" s="50">
        <f t="shared" si="1"/>
        <v>0</v>
      </c>
      <c r="O52" s="50">
        <f t="shared" si="1"/>
        <v>0</v>
      </c>
      <c r="P52" s="50">
        <f t="shared" si="1"/>
        <v>8266</v>
      </c>
      <c r="X52" s="50">
        <f>SUM(C52:P52)</f>
        <v>300850</v>
      </c>
      <c r="AU52" s="173" t="s">
        <v>174</v>
      </c>
      <c r="AV52" s="174"/>
      <c r="AW52" s="174"/>
      <c r="AX52" s="174"/>
      <c r="AY52" s="174"/>
      <c r="AZ52" s="174"/>
      <c r="BA52" s="174"/>
      <c r="BB52" s="146">
        <v>2475509</v>
      </c>
      <c r="BC52" s="174"/>
      <c r="BD52" s="175">
        <v>2475509</v>
      </c>
    </row>
    <row r="54" spans="1:56">
      <c r="A54" t="str">
        <f>+A18</f>
        <v>Ogn í umferð</v>
      </c>
      <c r="B54" s="2" t="s">
        <v>166</v>
      </c>
      <c r="C54" s="48">
        <f>+C18</f>
        <v>350561</v>
      </c>
      <c r="D54" s="1"/>
      <c r="E54" s="1"/>
      <c r="F54" s="1"/>
      <c r="G54" s="1"/>
      <c r="H54" s="48">
        <f>+K18</f>
        <v>369217</v>
      </c>
      <c r="I54" s="1"/>
      <c r="J54" s="1"/>
      <c r="K54" s="48">
        <f>+S18</f>
        <v>73447</v>
      </c>
      <c r="L54" s="1"/>
      <c r="M54" s="1"/>
      <c r="N54" s="1"/>
      <c r="O54" s="1"/>
      <c r="P54" s="48">
        <f>+AB18</f>
        <v>229307</v>
      </c>
    </row>
    <row r="55" spans="1:56">
      <c r="B55" s="75" t="s">
        <v>257</v>
      </c>
      <c r="C55" s="50">
        <f>+C54*0.1</f>
        <v>35056.1</v>
      </c>
      <c r="D55" s="4">
        <f t="shared" ref="D55:P55" si="2">+D54*0.1</f>
        <v>0</v>
      </c>
      <c r="E55" s="4">
        <f t="shared" si="2"/>
        <v>0</v>
      </c>
      <c r="F55" s="4">
        <f t="shared" si="2"/>
        <v>0</v>
      </c>
      <c r="G55" s="4">
        <f t="shared" si="2"/>
        <v>0</v>
      </c>
      <c r="H55" s="50">
        <f t="shared" si="2"/>
        <v>36921.700000000004</v>
      </c>
      <c r="I55" s="4">
        <f t="shared" si="2"/>
        <v>0</v>
      </c>
      <c r="J55" s="4">
        <f t="shared" si="2"/>
        <v>0</v>
      </c>
      <c r="K55" s="50">
        <f t="shared" si="2"/>
        <v>7344.7000000000007</v>
      </c>
      <c r="L55" s="4">
        <f t="shared" si="2"/>
        <v>0</v>
      </c>
      <c r="M55" s="4">
        <f t="shared" si="2"/>
        <v>0</v>
      </c>
      <c r="N55" s="4">
        <f t="shared" si="2"/>
        <v>0</v>
      </c>
      <c r="O55" s="4">
        <f t="shared" si="2"/>
        <v>0</v>
      </c>
      <c r="P55" s="50">
        <f t="shared" si="2"/>
        <v>22930.7</v>
      </c>
      <c r="Q55" s="4"/>
      <c r="R55" s="4"/>
      <c r="S55" s="4"/>
      <c r="T55" s="4"/>
      <c r="U55" s="4"/>
      <c r="V55" s="4"/>
      <c r="W55" s="4"/>
      <c r="X55" s="64">
        <f>SUM(C55:P55)</f>
        <v>102253.2</v>
      </c>
    </row>
    <row r="57" spans="1:56">
      <c r="A57" t="s">
        <v>255</v>
      </c>
      <c r="S57" s="3" t="s">
        <v>18</v>
      </c>
      <c r="X57" s="50">
        <f>+X55+X52</f>
        <v>403103.2</v>
      </c>
      <c r="AB57" t="s">
        <v>260</v>
      </c>
      <c r="AJ57" s="4"/>
    </row>
    <row r="58" spans="1:56">
      <c r="A58" t="s">
        <v>256</v>
      </c>
      <c r="AJ58" s="4"/>
    </row>
    <row r="59" spans="1:56">
      <c r="AJ59" s="4"/>
    </row>
    <row r="60" spans="1:56">
      <c r="B60" s="6" t="s">
        <v>19</v>
      </c>
      <c r="C60" s="6" t="s">
        <v>192</v>
      </c>
      <c r="D60" s="6" t="s">
        <v>193</v>
      </c>
      <c r="AJ60" s="4"/>
    </row>
    <row r="61" spans="1:56">
      <c r="A61" s="4" t="s">
        <v>175</v>
      </c>
      <c r="B61" s="234">
        <v>99944272</v>
      </c>
      <c r="C61" s="234">
        <v>10166578</v>
      </c>
      <c r="D61" s="234">
        <v>89777694</v>
      </c>
      <c r="AJ61" s="4"/>
    </row>
    <row r="62" spans="1:56">
      <c r="A62" s="4" t="s">
        <v>145</v>
      </c>
      <c r="B62" s="46">
        <v>86014113</v>
      </c>
      <c r="C62" s="46">
        <v>7204911</v>
      </c>
      <c r="D62" s="48">
        <v>78809202</v>
      </c>
      <c r="AJ62" s="4"/>
    </row>
    <row r="63" spans="1:56">
      <c r="AJ63" s="4"/>
    </row>
    <row r="64" spans="1:56">
      <c r="B64" s="4"/>
      <c r="C64" s="3" t="s">
        <v>259</v>
      </c>
      <c r="D64" s="50">
        <f>+D61+D62</f>
        <v>168586896</v>
      </c>
      <c r="AJ64" s="4"/>
    </row>
    <row r="65" spans="1:36">
      <c r="C65" s="2" t="s">
        <v>267</v>
      </c>
      <c r="D65" s="50">
        <f>+D64/1000</f>
        <v>168586.89600000001</v>
      </c>
      <c r="E65" s="4" t="s">
        <v>266</v>
      </c>
      <c r="AJ65" s="4"/>
    </row>
    <row r="66" spans="1:36">
      <c r="E66" s="4"/>
      <c r="AJ66" s="4"/>
    </row>
    <row r="67" spans="1:36" ht="16" thickBot="1">
      <c r="A67" s="235"/>
      <c r="B67" s="235"/>
      <c r="C67" s="236" t="s">
        <v>261</v>
      </c>
      <c r="D67" s="237">
        <f>+X57/D65</f>
        <v>2.3910707745636408</v>
      </c>
      <c r="E67" s="4" t="s">
        <v>20</v>
      </c>
      <c r="AJ67" s="4"/>
    </row>
    <row r="68" spans="1:36" ht="16" thickTop="1">
      <c r="AJ68" s="4"/>
    </row>
    <row r="69" spans="1:36">
      <c r="AJ69" s="4"/>
    </row>
    <row r="70" spans="1:36">
      <c r="AJ70" s="4"/>
    </row>
    <row r="71" spans="1:36">
      <c r="AJ71" s="4"/>
    </row>
    <row r="72" spans="1:36">
      <c r="AJ72" s="4"/>
    </row>
    <row r="73" spans="1:36">
      <c r="AJ73" s="4"/>
    </row>
    <row r="74" spans="1:36">
      <c r="AJ74" s="4"/>
    </row>
    <row r="75" spans="1:36">
      <c r="C75" s="5"/>
      <c r="AJ75" s="4"/>
    </row>
    <row r="76" spans="1:36">
      <c r="C76" s="5" t="s">
        <v>177</v>
      </c>
      <c r="AJ76" s="4"/>
    </row>
    <row r="77" spans="1:36">
      <c r="C77" s="6">
        <v>2021</v>
      </c>
      <c r="AG77" s="6" t="s">
        <v>19</v>
      </c>
      <c r="AH77" s="6" t="s">
        <v>192</v>
      </c>
      <c r="AI77" s="6" t="s">
        <v>193</v>
      </c>
      <c r="AJ77" s="4"/>
    </row>
    <row r="78" spans="1:36">
      <c r="B78" s="2" t="s">
        <v>154</v>
      </c>
      <c r="C78" s="46">
        <f>+AO5</f>
        <v>728423</v>
      </c>
      <c r="AF78" s="4" t="s">
        <v>176</v>
      </c>
      <c r="AG78" s="48">
        <v>181555167</v>
      </c>
      <c r="AH78" s="48">
        <v>9952641</v>
      </c>
      <c r="AI78" s="48">
        <v>171602526</v>
      </c>
      <c r="AJ78" s="4"/>
    </row>
    <row r="79" spans="1:36">
      <c r="B79" s="2" t="s">
        <v>160</v>
      </c>
      <c r="C79" s="48">
        <f>+AO11</f>
        <v>964036</v>
      </c>
      <c r="AJ79" s="4"/>
    </row>
    <row r="80" spans="1:36">
      <c r="B80" s="4" t="s">
        <v>18</v>
      </c>
      <c r="C80" s="50">
        <f>+C78+C79</f>
        <v>1692459</v>
      </c>
      <c r="AG80" s="4"/>
      <c r="AH80" s="3" t="s">
        <v>259</v>
      </c>
      <c r="AI80" s="50">
        <f>+AI78</f>
        <v>171602526</v>
      </c>
      <c r="AJ80" s="4"/>
    </row>
    <row r="81" spans="1:36">
      <c r="C81" s="50"/>
      <c r="AH81" s="2" t="s">
        <v>267</v>
      </c>
      <c r="AI81" s="50">
        <f>+AI80/1000</f>
        <v>171602.52600000001</v>
      </c>
      <c r="AJ81" s="4" t="s">
        <v>266</v>
      </c>
    </row>
    <row r="82" spans="1:36">
      <c r="B82" t="s">
        <v>262</v>
      </c>
      <c r="C82" s="50">
        <f>+C80*0.4</f>
        <v>676983.60000000009</v>
      </c>
      <c r="H82" t="s">
        <v>264</v>
      </c>
      <c r="P82" t="s">
        <v>265</v>
      </c>
      <c r="AJ82" s="4"/>
    </row>
    <row r="83" spans="1:36" ht="16" thickBot="1">
      <c r="AF83" s="235"/>
      <c r="AG83" s="235"/>
      <c r="AH83" s="236" t="s">
        <v>268</v>
      </c>
      <c r="AI83" s="237">
        <f>+C82/AI81</f>
        <v>3.9450678016243188</v>
      </c>
      <c r="AJ83" s="4" t="s">
        <v>20</v>
      </c>
    </row>
    <row r="84" spans="1:36" ht="16" thickTop="1">
      <c r="B84" t="s">
        <v>263</v>
      </c>
    </row>
    <row r="86" spans="1:36">
      <c r="A86" t="s">
        <v>332</v>
      </c>
    </row>
    <row r="87" spans="1:36">
      <c r="C87" s="5" t="s">
        <v>251</v>
      </c>
      <c r="H87" s="5"/>
      <c r="I87" s="5"/>
      <c r="J87" s="5"/>
      <c r="K87" s="5" t="s">
        <v>253</v>
      </c>
      <c r="L87" s="5"/>
      <c r="M87" s="5"/>
      <c r="N87" s="5"/>
      <c r="O87" s="5"/>
      <c r="P87" s="5" t="s">
        <v>254</v>
      </c>
    </row>
    <row r="88" spans="1:36">
      <c r="C88" s="5" t="s">
        <v>252</v>
      </c>
      <c r="H88" s="5" t="s">
        <v>170</v>
      </c>
      <c r="I88" s="5"/>
      <c r="J88" s="5"/>
      <c r="K88" s="5" t="s">
        <v>252</v>
      </c>
      <c r="L88" s="5"/>
      <c r="M88" s="5"/>
      <c r="N88" s="5"/>
      <c r="O88" s="5"/>
      <c r="P88" s="5" t="s">
        <v>252</v>
      </c>
      <c r="X88" s="5" t="s">
        <v>177</v>
      </c>
    </row>
    <row r="89" spans="1:36">
      <c r="C89" s="6">
        <v>2021</v>
      </c>
      <c r="H89" s="6">
        <v>2021</v>
      </c>
      <c r="I89" s="6"/>
      <c r="J89" s="6"/>
      <c r="K89" s="6">
        <v>2021</v>
      </c>
      <c r="L89" s="6"/>
      <c r="M89" s="6"/>
      <c r="N89" s="6"/>
      <c r="O89" s="6"/>
      <c r="P89" s="6">
        <v>2021</v>
      </c>
      <c r="X89" s="6">
        <v>2021</v>
      </c>
    </row>
    <row r="90" spans="1:36">
      <c r="B90" s="2" t="s">
        <v>154</v>
      </c>
      <c r="C90" s="46">
        <v>62806</v>
      </c>
      <c r="H90" s="46">
        <v>41029</v>
      </c>
      <c r="K90" s="46">
        <v>3616</v>
      </c>
      <c r="P90" s="46">
        <v>20448</v>
      </c>
      <c r="X90" s="46">
        <v>728423</v>
      </c>
      <c r="AB90" t="s">
        <v>334</v>
      </c>
    </row>
    <row r="91" spans="1:36">
      <c r="P91" s="2" t="s">
        <v>339</v>
      </c>
      <c r="X91" s="75">
        <v>0.4</v>
      </c>
    </row>
    <row r="92" spans="1:36">
      <c r="B92" s="2" t="s">
        <v>154</v>
      </c>
      <c r="C92" s="48">
        <f>+C90</f>
        <v>62806</v>
      </c>
      <c r="D92" s="48">
        <f t="shared" ref="D92:P92" si="3">+D90</f>
        <v>0</v>
      </c>
      <c r="E92" s="48">
        <f t="shared" si="3"/>
        <v>0</v>
      </c>
      <c r="F92" s="48">
        <f t="shared" si="3"/>
        <v>0</v>
      </c>
      <c r="G92" s="48">
        <f t="shared" si="3"/>
        <v>0</v>
      </c>
      <c r="H92" s="48">
        <f t="shared" si="3"/>
        <v>41029</v>
      </c>
      <c r="I92" s="48">
        <f t="shared" si="3"/>
        <v>0</v>
      </c>
      <c r="J92" s="48">
        <f t="shared" si="3"/>
        <v>0</v>
      </c>
      <c r="K92" s="48">
        <f t="shared" si="3"/>
        <v>3616</v>
      </c>
      <c r="L92" s="48">
        <f t="shared" si="3"/>
        <v>0</v>
      </c>
      <c r="M92" s="48">
        <f t="shared" si="3"/>
        <v>0</v>
      </c>
      <c r="N92" s="48">
        <f t="shared" si="3"/>
        <v>0</v>
      </c>
      <c r="O92" s="48">
        <f t="shared" si="3"/>
        <v>0</v>
      </c>
      <c r="P92" s="48">
        <f t="shared" si="3"/>
        <v>20448</v>
      </c>
      <c r="Q92" s="1"/>
      <c r="R92" s="1"/>
      <c r="S92" s="1"/>
      <c r="T92" s="1"/>
      <c r="U92" s="1"/>
      <c r="V92" s="1"/>
      <c r="W92" s="1"/>
      <c r="X92" s="48">
        <f>+X90*X91</f>
        <v>291369.2</v>
      </c>
      <c r="AB92" t="s">
        <v>334</v>
      </c>
    </row>
    <row r="93" spans="1:36">
      <c r="P93" t="s">
        <v>18</v>
      </c>
      <c r="X93" s="46">
        <f>SUM(C92:X92)</f>
        <v>419268.2</v>
      </c>
      <c r="AB93" t="s">
        <v>334</v>
      </c>
    </row>
    <row r="94" spans="1:36" ht="7.5" customHeight="1"/>
    <row r="95" spans="1:36">
      <c r="P95" s="2" t="s">
        <v>337</v>
      </c>
      <c r="X95" s="46">
        <f>+AI81+D65</f>
        <v>340189.42200000002</v>
      </c>
    </row>
    <row r="96" spans="1:36" ht="10.5" customHeight="1"/>
    <row r="97" spans="3:41">
      <c r="P97" s="2" t="s">
        <v>333</v>
      </c>
      <c r="X97" s="135">
        <f>+X93/X95</f>
        <v>1.2324551349512567</v>
      </c>
      <c r="AB97" t="s">
        <v>20</v>
      </c>
    </row>
    <row r="98" spans="3:41" ht="7.5" customHeight="1"/>
    <row r="99" spans="3:41">
      <c r="P99" s="2" t="s">
        <v>338</v>
      </c>
      <c r="Q99" s="46"/>
      <c r="R99" s="46"/>
      <c r="S99" s="46"/>
      <c r="X99" s="46">
        <f>106500+6600</f>
        <v>113100</v>
      </c>
      <c r="AB99" t="s">
        <v>128</v>
      </c>
    </row>
    <row r="100" spans="3:41" ht="9.75" customHeight="1"/>
    <row r="101" spans="3:41">
      <c r="P101" s="2" t="s">
        <v>335</v>
      </c>
      <c r="X101" s="46">
        <f>+X97*X99</f>
        <v>139390.67576298714</v>
      </c>
      <c r="Y101" s="46"/>
      <c r="Z101" s="46"/>
      <c r="AA101" s="46"/>
      <c r="AB101" t="s">
        <v>334</v>
      </c>
    </row>
    <row r="102" spans="3:41" ht="12" customHeight="1"/>
    <row r="103" spans="3:41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3" t="s">
        <v>340</v>
      </c>
      <c r="Q103" s="4"/>
      <c r="R103" s="4"/>
      <c r="S103" s="4"/>
      <c r="T103" s="4"/>
      <c r="U103" s="4"/>
      <c r="V103" s="4"/>
      <c r="W103" s="4"/>
      <c r="X103" s="275">
        <f>+X101/0.35/1000</f>
        <v>398.25907360853472</v>
      </c>
      <c r="Y103" s="4"/>
      <c r="Z103" s="4"/>
      <c r="AA103" s="4"/>
      <c r="AB103" s="4" t="s">
        <v>336</v>
      </c>
    </row>
    <row r="105" spans="3:41">
      <c r="AO105">
        <v>1924</v>
      </c>
    </row>
    <row r="106" spans="3:41">
      <c r="AO106">
        <f>143*1.12</f>
        <v>160.16000000000003</v>
      </c>
    </row>
    <row r="107" spans="3:41">
      <c r="AO107" s="135">
        <f>+AO106*AO105</f>
        <v>308147.84000000003</v>
      </c>
    </row>
  </sheetData>
  <mergeCells count="3">
    <mergeCell ref="AB26:AG26"/>
    <mergeCell ref="AO26:AQ26"/>
    <mergeCell ref="AB31:AG31"/>
  </mergeCells>
  <hyperlinks>
    <hyperlink ref="AU42" r:id="rId1" display="https://hagtol.vorn.fo/fvePortal.exe/ShowLandingRepShipFishSizes?SHIPGROUPID=9&amp;FISHGROUPID=46&amp;PARAMTYPE=1&amp;BEGIN=01-01-2021&amp;END=31-12-2021&amp;SUMCOLUMN=AMOUNT&amp;REGIONS=1,2,3,4,5,6,7,9,10,8"/>
    <hyperlink ref="AU43" r:id="rId2" display="https://hagtol.vorn.fo/fvePortal.exe/ShowLandingRepShipFishSizes?SHIPGROUPID=9&amp;FISHGROUPID=34&amp;PARAMTYPE=1&amp;BEGIN=01-01-2021&amp;END=31-12-2021&amp;SUMCOLUMN=AMOUNT&amp;REGIONS=1,2,3,4,5,6,7,9,10,8"/>
    <hyperlink ref="AU44" r:id="rId3" display="https://hagtol.vorn.fo/fvePortal.exe/ShowLandingRepShipFishSizes?SHIPGROUPID=9&amp;FISHGROUPID=48&amp;PARAMTYPE=1&amp;BEGIN=01-01-2021&amp;END=31-12-2021&amp;SUMCOLUMN=AMOUNT&amp;REGIONS=1,2,3,4,5,6,7,9,10,8"/>
    <hyperlink ref="AU45" r:id="rId4" display="https://hagtol.vorn.fo/fvePortal.exe/ShowLandingRepShipFishSizes?SHIPGROUPID=9&amp;FISHGROUPID=28&amp;PARAMTYPE=1&amp;BEGIN=01-01-2021&amp;END=31-12-2021&amp;SUMCOLUMN=AMOUNT&amp;REGIONS=1,2,3,4,5,6,7,9,10,8"/>
    <hyperlink ref="AU49" r:id="rId5" display="https://hagtol.vorn.fo/fvePortal.exe/ShowLandingRepShipFishSizes?SHIPGROUPID=9&amp;FISHGROUPID=46&amp;PARAMTYPE=1&amp;BEGIN=01-01-2021&amp;END=31-12-2021&amp;SUMCOLUMN=AMOUNT&amp;REGIONS=1,2,3,4,5,6,7,9,10,8"/>
    <hyperlink ref="AU50" r:id="rId6" display="https://hagtol.vorn.fo/fvePortal.exe/ShowLandingRepShipFishSizes?SHIPGROUPID=9&amp;FISHGROUPID=34&amp;PARAMTYPE=1&amp;BEGIN=01-01-2021&amp;END=31-12-2021&amp;SUMCOLUMN=AMOUNT&amp;REGIONS=1,2,3,4,5,6,7,9,10,8"/>
    <hyperlink ref="AU51" r:id="rId7" display="https://hagtol.vorn.fo/fvePortal.exe/ShowLandingRepShipFishSizes?SHIPGROUPID=9&amp;FISHGROUPID=48&amp;PARAMTYPE=1&amp;BEGIN=01-01-2021&amp;END=31-12-2021&amp;SUMCOLUMN=AMOUNT&amp;REGIONS=1,2,3,4,5,6,7,9,10,8"/>
    <hyperlink ref="AU52" r:id="rId8" display="https://hagtol.vorn.fo/fvePortal.exe/ShowLandingRepShipFishSizes?SHIPGROUPID=9&amp;FISHGROUPID=28&amp;PARAMTYPE=1&amp;BEGIN=01-01-2021&amp;END=31-12-2021&amp;SUMCOLUMN=AMOUNT&amp;REGIONS=1,2,3,4,5,6,7,9,10,8"/>
  </hyperlinks>
  <pageMargins left="0.7" right="0.7" top="0.75" bottom="0.75" header="0.3" footer="0.3"/>
  <drawing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R148"/>
  <sheetViews>
    <sheetView workbookViewId="0">
      <selection activeCell="M150" sqref="M150"/>
    </sheetView>
  </sheetViews>
  <sheetFormatPr defaultRowHeight="15.5"/>
  <cols>
    <col min="5" max="5" width="14.75" bestFit="1" customWidth="1"/>
    <col min="10" max="10" width="11.58203125" bestFit="1" customWidth="1"/>
    <col min="14" max="14" width="12.58203125" bestFit="1" customWidth="1"/>
  </cols>
  <sheetData>
    <row r="4" spans="5:18">
      <c r="E4" t="s">
        <v>143</v>
      </c>
      <c r="F4" t="s">
        <v>271</v>
      </c>
      <c r="G4" t="s">
        <v>270</v>
      </c>
      <c r="H4" t="s">
        <v>269</v>
      </c>
      <c r="I4" t="s">
        <v>124</v>
      </c>
      <c r="J4" t="s">
        <v>272</v>
      </c>
      <c r="K4" t="s">
        <v>273</v>
      </c>
      <c r="L4" t="s">
        <v>274</v>
      </c>
      <c r="R4" t="s">
        <v>275</v>
      </c>
    </row>
    <row r="5" spans="5:18">
      <c r="E5">
        <v>0.26400000000000001</v>
      </c>
      <c r="F5">
        <v>0.192</v>
      </c>
      <c r="G5">
        <v>0.25</v>
      </c>
      <c r="H5">
        <v>0</v>
      </c>
      <c r="I5">
        <v>3.9E-2</v>
      </c>
      <c r="J5">
        <v>0</v>
      </c>
      <c r="K5">
        <v>0</v>
      </c>
      <c r="L5">
        <v>0</v>
      </c>
      <c r="M5">
        <f>SUM(E5:L5)</f>
        <v>0.745</v>
      </c>
      <c r="N5">
        <f>1</f>
        <v>1</v>
      </c>
      <c r="O5">
        <v>1</v>
      </c>
      <c r="Q5" s="232">
        <f>+M5/100</f>
        <v>7.45E-3</v>
      </c>
      <c r="R5" s="14">
        <f>1-Q5</f>
        <v>0.99255000000000004</v>
      </c>
    </row>
    <row r="6" spans="5:18">
      <c r="E6">
        <v>0.43</v>
      </c>
      <c r="F6">
        <v>1.81</v>
      </c>
      <c r="G6">
        <v>0.06</v>
      </c>
      <c r="H6">
        <v>0.48</v>
      </c>
      <c r="I6">
        <v>0.04</v>
      </c>
      <c r="J6">
        <v>0.01</v>
      </c>
      <c r="K6">
        <v>0.03</v>
      </c>
      <c r="L6">
        <v>0.01</v>
      </c>
      <c r="M6">
        <f t="shared" ref="M6:M31" si="0">SUM(E6:L6)</f>
        <v>2.8699999999999997</v>
      </c>
      <c r="N6">
        <f t="shared" ref="N6:N13" si="1">1-M6</f>
        <v>-1.8699999999999997</v>
      </c>
      <c r="O6">
        <v>1</v>
      </c>
      <c r="Q6" s="232">
        <f t="shared" ref="Q6:Q31" si="2">+M6/100</f>
        <v>2.8699999999999996E-2</v>
      </c>
      <c r="R6" s="14">
        <f t="shared" ref="R6:R31" si="3">1-Q6</f>
        <v>0.97130000000000005</v>
      </c>
    </row>
    <row r="7" spans="5:18">
      <c r="E7">
        <v>3.9E-2</v>
      </c>
      <c r="F7">
        <v>0.33500000000000002</v>
      </c>
      <c r="G7">
        <v>0.74399999999999999</v>
      </c>
      <c r="H7">
        <v>0.40899999999999997</v>
      </c>
      <c r="I7">
        <v>7.4999999999999997E-2</v>
      </c>
      <c r="J7">
        <v>0</v>
      </c>
      <c r="K7">
        <v>0.121</v>
      </c>
      <c r="L7">
        <v>3.9E-2</v>
      </c>
      <c r="M7">
        <f t="shared" si="0"/>
        <v>1.7619999999999998</v>
      </c>
      <c r="N7">
        <f t="shared" si="1"/>
        <v>-0.76199999999999979</v>
      </c>
      <c r="O7">
        <v>1</v>
      </c>
      <c r="Q7" s="232">
        <f t="shared" si="2"/>
        <v>1.7619999999999997E-2</v>
      </c>
      <c r="R7" s="14">
        <f t="shared" si="3"/>
        <v>0.98238000000000003</v>
      </c>
    </row>
    <row r="8" spans="5:18">
      <c r="E8">
        <v>0.43099999999999999</v>
      </c>
      <c r="F8">
        <v>1.8109999999999999</v>
      </c>
      <c r="G8">
        <v>5.7000000000000002E-2</v>
      </c>
      <c r="H8">
        <v>0.48099999999999998</v>
      </c>
      <c r="I8">
        <v>4.3999999999999997E-2</v>
      </c>
      <c r="J8">
        <v>8.0000000000000002E-3</v>
      </c>
      <c r="K8">
        <v>2.8000000000000001E-2</v>
      </c>
      <c r="L8">
        <v>7.0000000000000001E-3</v>
      </c>
      <c r="M8">
        <f t="shared" si="0"/>
        <v>2.867</v>
      </c>
      <c r="N8">
        <f t="shared" si="1"/>
        <v>-1.867</v>
      </c>
      <c r="O8">
        <v>1</v>
      </c>
      <c r="Q8" s="232">
        <f t="shared" si="2"/>
        <v>2.8670000000000001E-2</v>
      </c>
      <c r="R8" s="14">
        <f t="shared" si="3"/>
        <v>0.97133000000000003</v>
      </c>
    </row>
    <row r="9" spans="5:18">
      <c r="E9">
        <v>6.9000000000000006E-2</v>
      </c>
      <c r="F9">
        <v>0.113</v>
      </c>
      <c r="G9">
        <v>1.9E-2</v>
      </c>
      <c r="H9">
        <v>0.17899999999999999</v>
      </c>
      <c r="I9">
        <v>0</v>
      </c>
      <c r="J9">
        <v>0</v>
      </c>
      <c r="K9">
        <v>0</v>
      </c>
      <c r="L9">
        <v>0</v>
      </c>
      <c r="M9">
        <f t="shared" si="0"/>
        <v>0.38</v>
      </c>
      <c r="N9">
        <f t="shared" si="1"/>
        <v>0.62</v>
      </c>
      <c r="O9">
        <v>1</v>
      </c>
      <c r="Q9" s="232">
        <f t="shared" si="2"/>
        <v>3.8E-3</v>
      </c>
      <c r="R9" s="14">
        <f t="shared" si="3"/>
        <v>0.99619999999999997</v>
      </c>
    </row>
    <row r="10" spans="5:18">
      <c r="E10">
        <v>0.159</v>
      </c>
      <c r="F10">
        <v>7.0000000000000007E-2</v>
      </c>
      <c r="G10">
        <v>8.4000000000000005E-2</v>
      </c>
      <c r="H10">
        <v>0.126</v>
      </c>
      <c r="I10">
        <v>0</v>
      </c>
      <c r="J10">
        <v>0.155</v>
      </c>
      <c r="K10">
        <v>0</v>
      </c>
      <c r="L10">
        <v>0</v>
      </c>
      <c r="M10">
        <f t="shared" si="0"/>
        <v>0.59399999999999997</v>
      </c>
      <c r="N10">
        <f t="shared" si="1"/>
        <v>0.40600000000000003</v>
      </c>
      <c r="O10">
        <v>1</v>
      </c>
      <c r="Q10" s="232">
        <f t="shared" si="2"/>
        <v>5.94E-3</v>
      </c>
      <c r="R10" s="14">
        <f t="shared" si="3"/>
        <v>0.99406000000000005</v>
      </c>
    </row>
    <row r="11" spans="5:18">
      <c r="E11">
        <v>6.9000000000000006E-2</v>
      </c>
      <c r="F11">
        <v>0.42099999999999999</v>
      </c>
      <c r="G11">
        <v>5.3999999999999999E-2</v>
      </c>
      <c r="H11">
        <v>5.3999999999999999E-2</v>
      </c>
      <c r="I11">
        <v>0</v>
      </c>
      <c r="J11">
        <v>0.60499999999999998</v>
      </c>
      <c r="K11">
        <v>3.3000000000000002E-2</v>
      </c>
      <c r="L11">
        <v>0</v>
      </c>
      <c r="M11">
        <f t="shared" si="0"/>
        <v>1.236</v>
      </c>
      <c r="N11">
        <f t="shared" si="1"/>
        <v>-0.23599999999999999</v>
      </c>
      <c r="O11">
        <v>1</v>
      </c>
      <c r="Q11" s="232">
        <f t="shared" si="2"/>
        <v>1.2359999999999999E-2</v>
      </c>
      <c r="R11" s="14">
        <f t="shared" si="3"/>
        <v>0.98763999999999996</v>
      </c>
    </row>
    <row r="12" spans="5:18">
      <c r="E12">
        <v>0.186</v>
      </c>
      <c r="F12">
        <v>2.952</v>
      </c>
      <c r="G12">
        <v>0.38500000000000001</v>
      </c>
      <c r="H12">
        <v>0.38500000000000001</v>
      </c>
      <c r="I12">
        <v>0.23</v>
      </c>
      <c r="J12">
        <v>0</v>
      </c>
      <c r="K12">
        <v>0.186</v>
      </c>
      <c r="L12">
        <v>0</v>
      </c>
      <c r="M12">
        <f t="shared" si="0"/>
        <v>4.3239999999999998</v>
      </c>
      <c r="N12">
        <f t="shared" si="1"/>
        <v>-3.3239999999999998</v>
      </c>
      <c r="O12">
        <v>1</v>
      </c>
      <c r="Q12" s="232">
        <f t="shared" si="2"/>
        <v>4.3240000000000001E-2</v>
      </c>
      <c r="R12" s="14">
        <f t="shared" si="3"/>
        <v>0.95676000000000005</v>
      </c>
    </row>
    <row r="13" spans="5:18">
      <c r="E13">
        <v>7.851</v>
      </c>
      <c r="F13">
        <v>1</v>
      </c>
      <c r="G13">
        <v>0.111</v>
      </c>
      <c r="H13">
        <v>0</v>
      </c>
      <c r="I13">
        <v>4.7E-2</v>
      </c>
      <c r="J13">
        <v>0</v>
      </c>
      <c r="K13">
        <v>3.6999999999999998E-2</v>
      </c>
      <c r="L13">
        <v>0</v>
      </c>
      <c r="M13">
        <f t="shared" si="0"/>
        <v>9.0460000000000012</v>
      </c>
      <c r="N13">
        <f t="shared" si="1"/>
        <v>-8.0460000000000012</v>
      </c>
      <c r="O13">
        <v>1</v>
      </c>
      <c r="Q13" s="232">
        <f t="shared" si="2"/>
        <v>9.0460000000000013E-2</v>
      </c>
      <c r="R13" s="14">
        <f t="shared" si="3"/>
        <v>0.90954000000000002</v>
      </c>
    </row>
    <row r="14" spans="5:18">
      <c r="E14">
        <v>0.14099999999999999</v>
      </c>
      <c r="F14">
        <v>0.44600000000000001</v>
      </c>
      <c r="G14">
        <v>0.253</v>
      </c>
      <c r="H14">
        <v>0.10100000000000001</v>
      </c>
      <c r="I14">
        <v>2.1000000000000001E-2</v>
      </c>
      <c r="J14">
        <v>0</v>
      </c>
      <c r="K14">
        <v>0</v>
      </c>
      <c r="L14">
        <v>0</v>
      </c>
      <c r="M14">
        <f t="shared" si="0"/>
        <v>0.96199999999999997</v>
      </c>
      <c r="O14">
        <v>1</v>
      </c>
      <c r="Q14" s="232">
        <f t="shared" si="2"/>
        <v>9.6200000000000001E-3</v>
      </c>
      <c r="R14" s="14">
        <f t="shared" si="3"/>
        <v>0.99038000000000004</v>
      </c>
    </row>
    <row r="15" spans="5:18">
      <c r="E15">
        <v>0.745</v>
      </c>
      <c r="F15">
        <v>0.89500000000000002</v>
      </c>
      <c r="G15">
        <v>0.248</v>
      </c>
      <c r="H15">
        <v>0</v>
      </c>
      <c r="I15">
        <v>2.5999999999999999E-2</v>
      </c>
      <c r="J15">
        <v>1E-3</v>
      </c>
      <c r="K15">
        <v>2.8000000000000001E-2</v>
      </c>
      <c r="L15">
        <v>1E-3</v>
      </c>
      <c r="M15">
        <f t="shared" si="0"/>
        <v>1.944</v>
      </c>
      <c r="O15">
        <v>1</v>
      </c>
      <c r="Q15" s="232">
        <f t="shared" si="2"/>
        <v>1.9439999999999999E-2</v>
      </c>
      <c r="R15" s="14">
        <f t="shared" si="3"/>
        <v>0.98055999999999999</v>
      </c>
    </row>
    <row r="16" spans="5:18">
      <c r="E16">
        <v>9.5000000000000001E-2</v>
      </c>
      <c r="F16">
        <v>0.246</v>
      </c>
      <c r="G16">
        <v>3.9E-2</v>
      </c>
      <c r="H16">
        <v>0.128</v>
      </c>
      <c r="I16">
        <v>0</v>
      </c>
      <c r="J16">
        <v>1.2E-2</v>
      </c>
      <c r="K16">
        <v>0</v>
      </c>
      <c r="L16">
        <v>0</v>
      </c>
      <c r="M16">
        <f t="shared" si="0"/>
        <v>0.52</v>
      </c>
      <c r="O16">
        <v>1</v>
      </c>
      <c r="Q16" s="232">
        <f t="shared" si="2"/>
        <v>5.1999999999999998E-3</v>
      </c>
      <c r="R16" s="14">
        <f t="shared" si="3"/>
        <v>0.99480000000000002</v>
      </c>
    </row>
    <row r="17" spans="5:18">
      <c r="E17">
        <v>3.1E-2</v>
      </c>
      <c r="F17">
        <v>0.22</v>
      </c>
      <c r="G17">
        <v>3.3000000000000002E-2</v>
      </c>
      <c r="H17">
        <v>0.11</v>
      </c>
      <c r="I17">
        <v>0</v>
      </c>
      <c r="J17">
        <v>1E-3</v>
      </c>
      <c r="K17">
        <v>2E-3</v>
      </c>
      <c r="L17">
        <v>2.1000000000000001E-2</v>
      </c>
      <c r="M17">
        <f t="shared" si="0"/>
        <v>0.41800000000000004</v>
      </c>
      <c r="O17">
        <v>1</v>
      </c>
      <c r="Q17" s="232">
        <f t="shared" si="2"/>
        <v>4.1800000000000006E-3</v>
      </c>
      <c r="R17" s="14">
        <f t="shared" si="3"/>
        <v>0.99582000000000004</v>
      </c>
    </row>
    <row r="18" spans="5:18">
      <c r="E18">
        <v>0</v>
      </c>
      <c r="F18">
        <v>4.3999999999999997E-2</v>
      </c>
      <c r="G18">
        <v>0</v>
      </c>
      <c r="H18">
        <v>0.40600000000000003</v>
      </c>
      <c r="I18">
        <v>0</v>
      </c>
      <c r="J18">
        <v>3.0000000000000001E-3</v>
      </c>
      <c r="K18">
        <v>0</v>
      </c>
      <c r="L18">
        <v>1.9E-2</v>
      </c>
      <c r="M18">
        <f t="shared" si="0"/>
        <v>0.47200000000000003</v>
      </c>
      <c r="O18">
        <v>1</v>
      </c>
      <c r="Q18" s="232">
        <f t="shared" si="2"/>
        <v>4.7200000000000002E-3</v>
      </c>
      <c r="R18" s="14">
        <f t="shared" si="3"/>
        <v>0.99528000000000005</v>
      </c>
    </row>
    <row r="19" spans="5:18">
      <c r="E19">
        <v>0</v>
      </c>
      <c r="F19">
        <v>0.01</v>
      </c>
      <c r="G19">
        <v>0</v>
      </c>
      <c r="H19">
        <v>0.158</v>
      </c>
      <c r="I19">
        <v>0</v>
      </c>
      <c r="J19">
        <v>8.0000000000000002E-3</v>
      </c>
      <c r="K19">
        <v>0</v>
      </c>
      <c r="L19">
        <v>3.5999999999999997E-2</v>
      </c>
      <c r="M19">
        <f t="shared" si="0"/>
        <v>0.21200000000000002</v>
      </c>
      <c r="O19">
        <v>1</v>
      </c>
      <c r="Q19" s="232">
        <f t="shared" si="2"/>
        <v>2.1200000000000004E-3</v>
      </c>
      <c r="R19" s="14">
        <f t="shared" si="3"/>
        <v>0.99787999999999999</v>
      </c>
    </row>
    <row r="20" spans="5:18">
      <c r="E20">
        <v>0</v>
      </c>
      <c r="F20">
        <v>0.36</v>
      </c>
      <c r="G20">
        <v>0.14000000000000001</v>
      </c>
      <c r="H20">
        <v>0.57999999999999996</v>
      </c>
      <c r="I20">
        <v>0</v>
      </c>
      <c r="J20">
        <v>5.0000000000000001E-3</v>
      </c>
      <c r="K20">
        <v>8.0000000000000002E-3</v>
      </c>
      <c r="L20">
        <v>1.6E-2</v>
      </c>
      <c r="M20">
        <f t="shared" si="0"/>
        <v>1.109</v>
      </c>
      <c r="O20">
        <v>1</v>
      </c>
      <c r="Q20" s="232">
        <f t="shared" si="2"/>
        <v>1.1089999999999999E-2</v>
      </c>
      <c r="R20" s="14">
        <f t="shared" si="3"/>
        <v>0.98890999999999996</v>
      </c>
    </row>
    <row r="21" spans="5:18">
      <c r="E21">
        <v>2.8000000000000001E-2</v>
      </c>
      <c r="F21">
        <v>0.5</v>
      </c>
      <c r="G21">
        <v>0.2</v>
      </c>
      <c r="H21">
        <v>0</v>
      </c>
      <c r="I21">
        <v>0</v>
      </c>
      <c r="J21">
        <v>4.0000000000000001E-3</v>
      </c>
      <c r="K21">
        <v>8.9999999999999993E-3</v>
      </c>
      <c r="L21">
        <v>0</v>
      </c>
      <c r="M21">
        <f t="shared" si="0"/>
        <v>0.74099999999999999</v>
      </c>
      <c r="O21">
        <v>1</v>
      </c>
      <c r="Q21" s="232">
        <f t="shared" si="2"/>
        <v>7.4099999999999999E-3</v>
      </c>
      <c r="R21" s="14">
        <f t="shared" si="3"/>
        <v>0.99258999999999997</v>
      </c>
    </row>
    <row r="22" spans="5:18">
      <c r="E22">
        <v>5.1999999999999998E-2</v>
      </c>
      <c r="F22">
        <v>0.48099999999999998</v>
      </c>
      <c r="G22">
        <v>0.104</v>
      </c>
      <c r="H22">
        <v>0</v>
      </c>
      <c r="I22">
        <v>0</v>
      </c>
      <c r="J22">
        <v>8.9999999999999993E-3</v>
      </c>
      <c r="K22">
        <v>0</v>
      </c>
      <c r="L22">
        <v>1.4E-2</v>
      </c>
      <c r="M22">
        <f t="shared" si="0"/>
        <v>0.66</v>
      </c>
      <c r="O22">
        <v>1</v>
      </c>
      <c r="Q22" s="232">
        <f t="shared" si="2"/>
        <v>6.6E-3</v>
      </c>
      <c r="R22" s="14">
        <f t="shared" si="3"/>
        <v>0.99339999999999995</v>
      </c>
    </row>
    <row r="23" spans="5:18">
      <c r="E23">
        <v>4.0380000000000003</v>
      </c>
      <c r="F23">
        <v>0.17899999999999999</v>
      </c>
      <c r="G23">
        <v>0.73299999999999998</v>
      </c>
      <c r="H23">
        <v>0</v>
      </c>
      <c r="I23">
        <v>1.0999999999999999E-2</v>
      </c>
      <c r="J23">
        <v>1E-3</v>
      </c>
      <c r="K23">
        <v>7.0000000000000001E-3</v>
      </c>
      <c r="L23">
        <v>0</v>
      </c>
      <c r="M23">
        <f t="shared" si="0"/>
        <v>4.9690000000000003</v>
      </c>
      <c r="O23">
        <v>1</v>
      </c>
      <c r="Q23" s="232">
        <f t="shared" si="2"/>
        <v>4.9690000000000005E-2</v>
      </c>
      <c r="R23" s="14">
        <f t="shared" si="3"/>
        <v>0.95030999999999999</v>
      </c>
    </row>
    <row r="24" spans="5:18">
      <c r="E24">
        <v>4.5599999999999996</v>
      </c>
      <c r="F24">
        <v>6.3E-2</v>
      </c>
      <c r="G24">
        <v>0.106</v>
      </c>
      <c r="H24">
        <v>0</v>
      </c>
      <c r="I24">
        <v>3.4000000000000002E-2</v>
      </c>
      <c r="J24">
        <v>0</v>
      </c>
      <c r="K24">
        <v>8.0000000000000002E-3</v>
      </c>
      <c r="L24">
        <v>0</v>
      </c>
      <c r="M24">
        <f t="shared" si="0"/>
        <v>4.770999999999999</v>
      </c>
      <c r="O24">
        <v>1</v>
      </c>
      <c r="Q24" s="232">
        <f t="shared" si="2"/>
        <v>4.7709999999999989E-2</v>
      </c>
      <c r="R24" s="14">
        <f t="shared" si="3"/>
        <v>0.95228999999999997</v>
      </c>
    </row>
    <row r="25" spans="5:18">
      <c r="E25">
        <v>10.36</v>
      </c>
      <c r="F25">
        <v>2.5000000000000001E-2</v>
      </c>
      <c r="G25">
        <v>0.17499999999999999</v>
      </c>
      <c r="H25">
        <v>0</v>
      </c>
      <c r="I25">
        <v>7.1999999999999995E-2</v>
      </c>
      <c r="J25">
        <v>0</v>
      </c>
      <c r="K25">
        <v>0</v>
      </c>
      <c r="L25">
        <v>0</v>
      </c>
      <c r="M25">
        <f t="shared" si="0"/>
        <v>10.632</v>
      </c>
      <c r="O25">
        <v>1</v>
      </c>
      <c r="Q25" s="232">
        <f t="shared" si="2"/>
        <v>0.10632</v>
      </c>
      <c r="R25" s="14">
        <f t="shared" si="3"/>
        <v>0.89368000000000003</v>
      </c>
    </row>
    <row r="26" spans="5:18">
      <c r="E26">
        <v>1.089</v>
      </c>
      <c r="F26">
        <v>4.5999999999999999E-2</v>
      </c>
      <c r="G26">
        <v>0.21</v>
      </c>
      <c r="H26">
        <v>0</v>
      </c>
      <c r="I26">
        <v>6.0000000000000001E-3</v>
      </c>
      <c r="J26">
        <v>0</v>
      </c>
      <c r="K26">
        <v>0</v>
      </c>
      <c r="L26">
        <v>0</v>
      </c>
      <c r="M26">
        <f t="shared" si="0"/>
        <v>1.351</v>
      </c>
      <c r="O26">
        <v>1</v>
      </c>
      <c r="Q26" s="232">
        <f t="shared" si="2"/>
        <v>1.3509999999999999E-2</v>
      </c>
      <c r="R26" s="14">
        <f t="shared" si="3"/>
        <v>0.98648999999999998</v>
      </c>
    </row>
    <row r="27" spans="5:18">
      <c r="E27">
        <v>5.9089999999999998</v>
      </c>
      <c r="F27">
        <v>0.03</v>
      </c>
      <c r="G27">
        <v>0.19</v>
      </c>
      <c r="H27">
        <v>0</v>
      </c>
      <c r="I27">
        <v>3.2000000000000001E-2</v>
      </c>
      <c r="J27">
        <v>0</v>
      </c>
      <c r="K27">
        <v>7.0000000000000001E-3</v>
      </c>
      <c r="L27">
        <v>0</v>
      </c>
      <c r="M27">
        <f t="shared" si="0"/>
        <v>6.1680000000000001</v>
      </c>
      <c r="O27">
        <v>1</v>
      </c>
      <c r="Q27" s="232">
        <f t="shared" si="2"/>
        <v>6.1679999999999999E-2</v>
      </c>
      <c r="R27" s="14">
        <f t="shared" si="3"/>
        <v>0.93832000000000004</v>
      </c>
    </row>
    <row r="28" spans="5:18">
      <c r="E28">
        <v>7.0590000000000002</v>
      </c>
      <c r="F28">
        <v>0.10100000000000001</v>
      </c>
      <c r="G28">
        <v>2.5000000000000001E-2</v>
      </c>
      <c r="H28">
        <v>0</v>
      </c>
      <c r="I28">
        <v>1.2E-2</v>
      </c>
      <c r="J28">
        <v>0</v>
      </c>
      <c r="K28">
        <v>0</v>
      </c>
      <c r="L28">
        <v>0</v>
      </c>
      <c r="M28">
        <f t="shared" si="0"/>
        <v>7.1970000000000001</v>
      </c>
      <c r="O28">
        <v>1</v>
      </c>
      <c r="Q28" s="232">
        <f t="shared" si="2"/>
        <v>7.1970000000000006E-2</v>
      </c>
      <c r="R28" s="14">
        <f t="shared" si="3"/>
        <v>0.92803000000000002</v>
      </c>
    </row>
    <row r="29" spans="5:18">
      <c r="E29">
        <v>4.6420000000000003</v>
      </c>
      <c r="F29">
        <v>0.03</v>
      </c>
      <c r="G29">
        <v>2.3E-2</v>
      </c>
      <c r="H29">
        <v>0</v>
      </c>
      <c r="I29">
        <v>8.9999999999999993E-3</v>
      </c>
      <c r="J29">
        <v>0</v>
      </c>
      <c r="K29">
        <v>1.0999999999999999E-2</v>
      </c>
      <c r="L29">
        <v>0</v>
      </c>
      <c r="M29">
        <f t="shared" si="0"/>
        <v>4.7150000000000007</v>
      </c>
      <c r="O29">
        <v>1</v>
      </c>
      <c r="Q29" s="232">
        <f t="shared" si="2"/>
        <v>4.7150000000000004E-2</v>
      </c>
      <c r="R29" s="14">
        <f t="shared" si="3"/>
        <v>0.95284999999999997</v>
      </c>
    </row>
    <row r="30" spans="5:18">
      <c r="E30">
        <v>3.661</v>
      </c>
      <c r="F30">
        <v>0.15</v>
      </c>
      <c r="G30">
        <v>0.34</v>
      </c>
      <c r="H30">
        <v>0</v>
      </c>
      <c r="I30">
        <v>2.9000000000000001E-2</v>
      </c>
      <c r="J30">
        <v>0</v>
      </c>
      <c r="K30">
        <v>0</v>
      </c>
      <c r="L30">
        <v>0</v>
      </c>
      <c r="M30">
        <f t="shared" si="0"/>
        <v>4.18</v>
      </c>
      <c r="O30">
        <v>1</v>
      </c>
      <c r="Q30" s="232">
        <f t="shared" si="2"/>
        <v>4.1799999999999997E-2</v>
      </c>
      <c r="R30" s="14">
        <f t="shared" si="3"/>
        <v>0.95820000000000005</v>
      </c>
    </row>
    <row r="31" spans="5:18">
      <c r="E31">
        <v>4.5549999999999997</v>
      </c>
      <c r="F31">
        <v>0.13800000000000001</v>
      </c>
      <c r="G31">
        <v>0.23</v>
      </c>
      <c r="H31">
        <v>0</v>
      </c>
      <c r="I31">
        <v>0.02</v>
      </c>
      <c r="J31">
        <v>0</v>
      </c>
      <c r="K31">
        <v>8.0000000000000002E-3</v>
      </c>
      <c r="L31">
        <v>2E-3</v>
      </c>
      <c r="M31">
        <f t="shared" si="0"/>
        <v>4.9529999999999994</v>
      </c>
      <c r="O31">
        <v>1</v>
      </c>
      <c r="Q31" s="232">
        <f t="shared" si="2"/>
        <v>4.9529999999999991E-2</v>
      </c>
      <c r="R31" s="14">
        <f t="shared" si="3"/>
        <v>0.95047000000000004</v>
      </c>
    </row>
    <row r="32" spans="5:18">
      <c r="E32">
        <v>9.2240000000000002</v>
      </c>
      <c r="F32">
        <v>0.15</v>
      </c>
      <c r="G32">
        <v>0.2</v>
      </c>
      <c r="H32">
        <v>0</v>
      </c>
      <c r="I32">
        <v>8.9999999999999993E-3</v>
      </c>
      <c r="J32">
        <v>0</v>
      </c>
      <c r="K32">
        <v>6.0000000000000001E-3</v>
      </c>
      <c r="L32">
        <v>0</v>
      </c>
      <c r="Q32" s="232"/>
      <c r="R32" s="14"/>
    </row>
    <row r="33" spans="5:18">
      <c r="E33">
        <v>1.7589999999999999</v>
      </c>
      <c r="F33">
        <v>0.44700000000000001</v>
      </c>
      <c r="G33">
        <v>1.1659999999999999</v>
      </c>
      <c r="H33">
        <v>0</v>
      </c>
      <c r="I33">
        <v>2.3E-2</v>
      </c>
      <c r="J33">
        <v>0</v>
      </c>
      <c r="K33">
        <v>0</v>
      </c>
      <c r="L33">
        <v>2E-3</v>
      </c>
      <c r="Q33" s="232"/>
      <c r="R33" s="14"/>
    </row>
    <row r="34" spans="5:18">
      <c r="E34">
        <v>20.145</v>
      </c>
      <c r="F34">
        <v>0.124</v>
      </c>
      <c r="G34">
        <v>0.192</v>
      </c>
      <c r="H34">
        <v>0</v>
      </c>
      <c r="I34">
        <v>1.2999999999999999E-2</v>
      </c>
      <c r="J34">
        <v>0</v>
      </c>
      <c r="K34">
        <v>0</v>
      </c>
      <c r="L34">
        <v>4.0000000000000001E-3</v>
      </c>
      <c r="Q34" s="232"/>
      <c r="R34" s="14"/>
    </row>
    <row r="35" spans="5:18">
      <c r="E35">
        <v>1.9730000000000001</v>
      </c>
      <c r="F35">
        <v>0.38100000000000001</v>
      </c>
      <c r="G35">
        <v>1.5309999999999999</v>
      </c>
      <c r="H35">
        <v>0</v>
      </c>
      <c r="I35">
        <v>3.5999999999999997E-2</v>
      </c>
      <c r="J35">
        <v>0</v>
      </c>
      <c r="K35">
        <v>8.0000000000000002E-3</v>
      </c>
      <c r="L35">
        <v>2E-3</v>
      </c>
      <c r="Q35" s="232"/>
      <c r="R35" s="14"/>
    </row>
    <row r="36" spans="5:18">
      <c r="E36">
        <v>5.8120000000000003</v>
      </c>
      <c r="F36">
        <v>0.79600000000000004</v>
      </c>
      <c r="G36">
        <v>0.35699999999999998</v>
      </c>
      <c r="H36">
        <v>0</v>
      </c>
      <c r="I36">
        <v>0.02</v>
      </c>
      <c r="J36">
        <v>0</v>
      </c>
      <c r="K36">
        <v>0.01</v>
      </c>
      <c r="L36">
        <v>0</v>
      </c>
      <c r="Q36" s="232"/>
      <c r="R36" s="14"/>
    </row>
    <row r="37" spans="5:18">
      <c r="E37">
        <v>0.68700000000000006</v>
      </c>
      <c r="F37">
        <v>1.306</v>
      </c>
      <c r="G37">
        <v>2.5000000000000001E-2</v>
      </c>
      <c r="H37">
        <v>0</v>
      </c>
      <c r="I37">
        <v>0</v>
      </c>
      <c r="J37">
        <v>7.8E-2</v>
      </c>
      <c r="K37">
        <v>0</v>
      </c>
      <c r="L37">
        <v>0</v>
      </c>
      <c r="Q37" s="232"/>
      <c r="R37" s="14"/>
    </row>
    <row r="38" spans="5:18">
      <c r="E38">
        <v>0.66300000000000003</v>
      </c>
      <c r="F38">
        <v>2.9140000000000001</v>
      </c>
      <c r="G38">
        <v>0.08</v>
      </c>
      <c r="H38">
        <v>1.2999999999999999E-2</v>
      </c>
      <c r="I38">
        <v>0</v>
      </c>
      <c r="J38">
        <v>0.106</v>
      </c>
      <c r="K38">
        <v>0</v>
      </c>
      <c r="L38">
        <v>0</v>
      </c>
      <c r="Q38" s="232"/>
      <c r="R38" s="14"/>
    </row>
    <row r="39" spans="5:18">
      <c r="E39">
        <v>4.84</v>
      </c>
      <c r="F39">
        <v>0.24</v>
      </c>
      <c r="G39">
        <v>0.25</v>
      </c>
      <c r="H39">
        <v>0</v>
      </c>
      <c r="I39">
        <v>4.4999999999999998E-2</v>
      </c>
      <c r="J39">
        <v>1E-3</v>
      </c>
      <c r="K39">
        <v>1.9E-2</v>
      </c>
      <c r="L39">
        <v>3.0000000000000001E-3</v>
      </c>
      <c r="Q39" s="232"/>
      <c r="R39" s="14"/>
    </row>
    <row r="40" spans="5:18">
      <c r="E40">
        <v>0.18</v>
      </c>
      <c r="F40">
        <v>0.22900000000000001</v>
      </c>
      <c r="G40">
        <v>0</v>
      </c>
      <c r="H40">
        <v>3.78</v>
      </c>
      <c r="I40">
        <v>0.111</v>
      </c>
      <c r="J40">
        <v>0</v>
      </c>
      <c r="K40">
        <v>0</v>
      </c>
      <c r="L40">
        <v>0</v>
      </c>
      <c r="Q40" s="232"/>
      <c r="R40" s="14"/>
    </row>
    <row r="41" spans="5:18">
      <c r="E41">
        <v>0.184</v>
      </c>
      <c r="F41">
        <v>2.4E-2</v>
      </c>
      <c r="G41">
        <v>0</v>
      </c>
      <c r="H41">
        <v>0.217</v>
      </c>
      <c r="I41">
        <v>1.6E-2</v>
      </c>
      <c r="J41">
        <v>8.9999999999999993E-3</v>
      </c>
      <c r="K41">
        <v>1.4999999999999999E-2</v>
      </c>
      <c r="L41">
        <v>0</v>
      </c>
      <c r="Q41" s="232"/>
      <c r="R41" s="14"/>
    </row>
    <row r="42" spans="5:18">
      <c r="E42">
        <v>0</v>
      </c>
      <c r="F42">
        <v>2.5999999999999999E-2</v>
      </c>
      <c r="G42">
        <v>7.6999999999999999E-2</v>
      </c>
      <c r="H42">
        <v>0</v>
      </c>
      <c r="I42">
        <v>0</v>
      </c>
      <c r="J42">
        <v>0</v>
      </c>
      <c r="K42">
        <v>0</v>
      </c>
      <c r="L42">
        <v>0</v>
      </c>
      <c r="Q42" s="232"/>
      <c r="R42" s="14"/>
    </row>
    <row r="43" spans="5:18">
      <c r="E43">
        <v>0.218</v>
      </c>
      <c r="F43">
        <v>8.9999999999999993E-3</v>
      </c>
      <c r="G43">
        <v>0</v>
      </c>
      <c r="H43">
        <v>0</v>
      </c>
      <c r="I43">
        <v>0</v>
      </c>
      <c r="J43">
        <v>7.0000000000000001E-3</v>
      </c>
      <c r="K43">
        <v>8.0000000000000002E-3</v>
      </c>
      <c r="L43">
        <v>0</v>
      </c>
      <c r="Q43" s="232"/>
      <c r="R43" s="14"/>
    </row>
    <row r="44" spans="5:18">
      <c r="E44">
        <v>0.48299999999999998</v>
      </c>
      <c r="F44">
        <v>6.5000000000000002E-2</v>
      </c>
      <c r="G44">
        <v>8.9999999999999993E-3</v>
      </c>
      <c r="H44">
        <v>0</v>
      </c>
      <c r="I44">
        <v>0</v>
      </c>
      <c r="J44">
        <v>1E-3</v>
      </c>
      <c r="K44">
        <v>1.4999999999999999E-2</v>
      </c>
      <c r="L44">
        <v>0</v>
      </c>
      <c r="Q44" s="232"/>
      <c r="R44" s="14"/>
    </row>
    <row r="45" spans="5:18">
      <c r="M45">
        <f>SUM(M5:M31)</f>
        <v>79.798000000000002</v>
      </c>
      <c r="N45">
        <f>+M45/O45</f>
        <v>2.9554814814814816</v>
      </c>
      <c r="O45">
        <f>SUM(O5:O31)</f>
        <v>27</v>
      </c>
      <c r="Q45" s="233">
        <f>SUM(Q5:Q31)/O45</f>
        <v>2.9554814814814808E-2</v>
      </c>
      <c r="R45" s="233">
        <f>SUM(R5:R31)/O45</f>
        <v>0.97044518518518552</v>
      </c>
    </row>
    <row r="48" spans="5:18" ht="40.5">
      <c r="E48" s="240" t="s">
        <v>143</v>
      </c>
      <c r="F48" s="240" t="s">
        <v>279</v>
      </c>
      <c r="G48" s="240" t="s">
        <v>280</v>
      </c>
      <c r="H48" s="240" t="s">
        <v>278</v>
      </c>
      <c r="I48" s="240" t="s">
        <v>124</v>
      </c>
      <c r="J48" s="240" t="s">
        <v>272</v>
      </c>
      <c r="K48" s="240" t="s">
        <v>277</v>
      </c>
      <c r="L48" s="240" t="s">
        <v>276</v>
      </c>
      <c r="M48" s="240" t="s">
        <v>281</v>
      </c>
      <c r="N48" s="240" t="s">
        <v>282</v>
      </c>
    </row>
    <row r="49" spans="5:14">
      <c r="E49" s="239">
        <f>+E5/100</f>
        <v>2.64E-3</v>
      </c>
      <c r="F49" s="239">
        <f t="shared" ref="F49:L49" si="4">+F5/100</f>
        <v>1.92E-3</v>
      </c>
      <c r="G49" s="239">
        <f t="shared" si="4"/>
        <v>2.5000000000000001E-3</v>
      </c>
      <c r="H49" s="239">
        <f t="shared" si="4"/>
        <v>0</v>
      </c>
      <c r="I49" s="239">
        <f t="shared" si="4"/>
        <v>3.8999999999999999E-4</v>
      </c>
      <c r="J49" s="239">
        <f t="shared" si="4"/>
        <v>0</v>
      </c>
      <c r="K49" s="239">
        <f t="shared" si="4"/>
        <v>0</v>
      </c>
      <c r="L49" s="239">
        <f t="shared" si="4"/>
        <v>0</v>
      </c>
      <c r="M49" s="241">
        <f>SUM(E49:L49)</f>
        <v>7.45E-3</v>
      </c>
      <c r="N49" s="241">
        <f>1-M49</f>
        <v>0.99255000000000004</v>
      </c>
    </row>
    <row r="50" spans="5:14">
      <c r="E50" s="239">
        <f t="shared" ref="E50:L50" si="5">+E6/100</f>
        <v>4.3E-3</v>
      </c>
      <c r="F50" s="239">
        <f t="shared" si="5"/>
        <v>1.8100000000000002E-2</v>
      </c>
      <c r="G50" s="239">
        <f t="shared" si="5"/>
        <v>5.9999999999999995E-4</v>
      </c>
      <c r="H50" s="239">
        <f t="shared" si="5"/>
        <v>4.7999999999999996E-3</v>
      </c>
      <c r="I50" s="239">
        <f t="shared" si="5"/>
        <v>4.0000000000000002E-4</v>
      </c>
      <c r="J50" s="239">
        <f t="shared" si="5"/>
        <v>1E-4</v>
      </c>
      <c r="K50" s="239">
        <f t="shared" si="5"/>
        <v>2.9999999999999997E-4</v>
      </c>
      <c r="L50" s="239">
        <f t="shared" si="5"/>
        <v>1E-4</v>
      </c>
      <c r="M50" s="241">
        <f t="shared" ref="M50:M75" si="6">SUM(E50:L50)</f>
        <v>2.8700000000000003E-2</v>
      </c>
      <c r="N50" s="241">
        <f t="shared" ref="N50:N88" si="7">1-M50</f>
        <v>0.97130000000000005</v>
      </c>
    </row>
    <row r="51" spans="5:14">
      <c r="E51" s="239">
        <f t="shared" ref="E51:L51" si="8">+E7/100</f>
        <v>3.8999999999999999E-4</v>
      </c>
      <c r="F51" s="239">
        <f t="shared" si="8"/>
        <v>3.3500000000000001E-3</v>
      </c>
      <c r="G51" s="239">
        <f t="shared" si="8"/>
        <v>7.4399999999999996E-3</v>
      </c>
      <c r="H51" s="239">
        <f t="shared" si="8"/>
        <v>4.0899999999999999E-3</v>
      </c>
      <c r="I51" s="239">
        <f t="shared" si="8"/>
        <v>7.5000000000000002E-4</v>
      </c>
      <c r="J51" s="239">
        <f t="shared" si="8"/>
        <v>0</v>
      </c>
      <c r="K51" s="239">
        <f t="shared" si="8"/>
        <v>1.2099999999999999E-3</v>
      </c>
      <c r="L51" s="239">
        <f t="shared" si="8"/>
        <v>3.8999999999999999E-4</v>
      </c>
      <c r="M51" s="241">
        <f t="shared" si="6"/>
        <v>1.762E-2</v>
      </c>
      <c r="N51" s="241">
        <f t="shared" si="7"/>
        <v>0.98238000000000003</v>
      </c>
    </row>
    <row r="52" spans="5:14">
      <c r="E52" s="239">
        <f t="shared" ref="E52:L52" si="9">+E8/100</f>
        <v>4.3099999999999996E-3</v>
      </c>
      <c r="F52" s="239">
        <f t="shared" si="9"/>
        <v>1.8110000000000001E-2</v>
      </c>
      <c r="G52" s="239">
        <f t="shared" si="9"/>
        <v>5.6999999999999998E-4</v>
      </c>
      <c r="H52" s="239">
        <f t="shared" si="9"/>
        <v>4.81E-3</v>
      </c>
      <c r="I52" s="239">
        <f t="shared" si="9"/>
        <v>4.3999999999999996E-4</v>
      </c>
      <c r="J52" s="239">
        <f t="shared" si="9"/>
        <v>8.0000000000000007E-5</v>
      </c>
      <c r="K52" s="239">
        <f t="shared" si="9"/>
        <v>2.8000000000000003E-4</v>
      </c>
      <c r="L52" s="239">
        <f t="shared" si="9"/>
        <v>7.0000000000000007E-5</v>
      </c>
      <c r="M52" s="241">
        <f t="shared" si="6"/>
        <v>2.8670000000000005E-2</v>
      </c>
      <c r="N52" s="241">
        <f t="shared" si="7"/>
        <v>0.97133000000000003</v>
      </c>
    </row>
    <row r="53" spans="5:14">
      <c r="E53" s="239">
        <f t="shared" ref="E53:L53" si="10">+E9/100</f>
        <v>6.9000000000000008E-4</v>
      </c>
      <c r="F53" s="239">
        <f t="shared" si="10"/>
        <v>1.1299999999999999E-3</v>
      </c>
      <c r="G53" s="239">
        <f t="shared" si="10"/>
        <v>1.8999999999999998E-4</v>
      </c>
      <c r="H53" s="239">
        <f t="shared" si="10"/>
        <v>1.7899999999999999E-3</v>
      </c>
      <c r="I53" s="239">
        <f t="shared" si="10"/>
        <v>0</v>
      </c>
      <c r="J53" s="239">
        <f t="shared" si="10"/>
        <v>0</v>
      </c>
      <c r="K53" s="239">
        <f t="shared" si="10"/>
        <v>0</v>
      </c>
      <c r="L53" s="239">
        <f t="shared" si="10"/>
        <v>0</v>
      </c>
      <c r="M53" s="241">
        <f t="shared" si="6"/>
        <v>3.8E-3</v>
      </c>
      <c r="N53" s="241">
        <f t="shared" si="7"/>
        <v>0.99619999999999997</v>
      </c>
    </row>
    <row r="54" spans="5:14">
      <c r="E54" s="239">
        <f t="shared" ref="E54:L54" si="11">+E10/100</f>
        <v>1.5900000000000001E-3</v>
      </c>
      <c r="F54" s="239">
        <f t="shared" si="11"/>
        <v>7.000000000000001E-4</v>
      </c>
      <c r="G54" s="239">
        <f t="shared" si="11"/>
        <v>8.4000000000000003E-4</v>
      </c>
      <c r="H54" s="239">
        <f t="shared" si="11"/>
        <v>1.2600000000000001E-3</v>
      </c>
      <c r="I54" s="239">
        <f t="shared" si="11"/>
        <v>0</v>
      </c>
      <c r="J54" s="239">
        <f t="shared" si="11"/>
        <v>1.5499999999999999E-3</v>
      </c>
      <c r="K54" s="239">
        <f t="shared" si="11"/>
        <v>0</v>
      </c>
      <c r="L54" s="239">
        <f t="shared" si="11"/>
        <v>0</v>
      </c>
      <c r="M54" s="241">
        <f t="shared" si="6"/>
        <v>5.9400000000000008E-3</v>
      </c>
      <c r="N54" s="241">
        <f t="shared" si="7"/>
        <v>0.99405999999999994</v>
      </c>
    </row>
    <row r="55" spans="5:14">
      <c r="E55" s="239">
        <f t="shared" ref="E55:L55" si="12">+E11/100</f>
        <v>6.9000000000000008E-4</v>
      </c>
      <c r="F55" s="239">
        <f t="shared" si="12"/>
        <v>4.2100000000000002E-3</v>
      </c>
      <c r="G55" s="239">
        <f t="shared" si="12"/>
        <v>5.4000000000000001E-4</v>
      </c>
      <c r="H55" s="239">
        <f t="shared" si="12"/>
        <v>5.4000000000000001E-4</v>
      </c>
      <c r="I55" s="239">
        <f t="shared" si="12"/>
        <v>0</v>
      </c>
      <c r="J55" s="239">
        <f t="shared" si="12"/>
        <v>6.0499999999999998E-3</v>
      </c>
      <c r="K55" s="239">
        <f t="shared" si="12"/>
        <v>3.3E-4</v>
      </c>
      <c r="L55" s="239">
        <f t="shared" si="12"/>
        <v>0</v>
      </c>
      <c r="M55" s="241">
        <f t="shared" si="6"/>
        <v>1.2359999999999999E-2</v>
      </c>
      <c r="N55" s="241">
        <f t="shared" si="7"/>
        <v>0.98763999999999996</v>
      </c>
    </row>
    <row r="56" spans="5:14">
      <c r="E56" s="239">
        <f t="shared" ref="E56:L56" si="13">+E12/100</f>
        <v>1.8599999999999999E-3</v>
      </c>
      <c r="F56" s="239">
        <f t="shared" si="13"/>
        <v>2.9520000000000001E-2</v>
      </c>
      <c r="G56" s="239">
        <f t="shared" si="13"/>
        <v>3.8500000000000001E-3</v>
      </c>
      <c r="H56" s="239">
        <f t="shared" si="13"/>
        <v>3.8500000000000001E-3</v>
      </c>
      <c r="I56" s="239">
        <f t="shared" si="13"/>
        <v>2.3E-3</v>
      </c>
      <c r="J56" s="239">
        <f t="shared" si="13"/>
        <v>0</v>
      </c>
      <c r="K56" s="239">
        <f t="shared" si="13"/>
        <v>1.8599999999999999E-3</v>
      </c>
      <c r="L56" s="239">
        <f t="shared" si="13"/>
        <v>0</v>
      </c>
      <c r="M56" s="241">
        <f t="shared" si="6"/>
        <v>4.3240000000000001E-2</v>
      </c>
      <c r="N56" s="241">
        <f t="shared" si="7"/>
        <v>0.95676000000000005</v>
      </c>
    </row>
    <row r="57" spans="5:14">
      <c r="E57" s="239">
        <f t="shared" ref="E57:L57" si="14">+E13/100</f>
        <v>7.8509999999999996E-2</v>
      </c>
      <c r="F57" s="239">
        <f t="shared" si="14"/>
        <v>0.01</v>
      </c>
      <c r="G57" s="239">
        <f t="shared" si="14"/>
        <v>1.1100000000000001E-3</v>
      </c>
      <c r="H57" s="239">
        <f t="shared" si="14"/>
        <v>0</v>
      </c>
      <c r="I57" s="239">
        <f t="shared" si="14"/>
        <v>4.6999999999999999E-4</v>
      </c>
      <c r="J57" s="239">
        <f t="shared" si="14"/>
        <v>0</v>
      </c>
      <c r="K57" s="239">
        <f t="shared" si="14"/>
        <v>3.6999999999999999E-4</v>
      </c>
      <c r="L57" s="239">
        <f t="shared" si="14"/>
        <v>0</v>
      </c>
      <c r="M57" s="241">
        <f t="shared" si="6"/>
        <v>9.0459999999999985E-2</v>
      </c>
      <c r="N57" s="241">
        <f t="shared" si="7"/>
        <v>0.90954000000000002</v>
      </c>
    </row>
    <row r="58" spans="5:14">
      <c r="E58" s="239">
        <f t="shared" ref="E58:L58" si="15">+E14/100</f>
        <v>1.4099999999999998E-3</v>
      </c>
      <c r="F58" s="239">
        <f t="shared" si="15"/>
        <v>4.4600000000000004E-3</v>
      </c>
      <c r="G58" s="239">
        <f t="shared" si="15"/>
        <v>2.5300000000000001E-3</v>
      </c>
      <c r="H58" s="239">
        <f t="shared" si="15"/>
        <v>1.01E-3</v>
      </c>
      <c r="I58" s="239">
        <f t="shared" si="15"/>
        <v>2.1000000000000001E-4</v>
      </c>
      <c r="J58" s="239">
        <f t="shared" si="15"/>
        <v>0</v>
      </c>
      <c r="K58" s="239">
        <f t="shared" si="15"/>
        <v>0</v>
      </c>
      <c r="L58" s="239">
        <f t="shared" si="15"/>
        <v>0</v>
      </c>
      <c r="M58" s="241">
        <f t="shared" si="6"/>
        <v>9.6200000000000018E-3</v>
      </c>
      <c r="N58" s="241">
        <f t="shared" si="7"/>
        <v>0.99038000000000004</v>
      </c>
    </row>
    <row r="59" spans="5:14">
      <c r="E59" s="239">
        <f t="shared" ref="E59:L59" si="16">+E15/100</f>
        <v>7.45E-3</v>
      </c>
      <c r="F59" s="239">
        <f t="shared" si="16"/>
        <v>8.9499999999999996E-3</v>
      </c>
      <c r="G59" s="239">
        <f t="shared" si="16"/>
        <v>2.48E-3</v>
      </c>
      <c r="H59" s="239">
        <f t="shared" si="16"/>
        <v>0</v>
      </c>
      <c r="I59" s="239">
        <f t="shared" si="16"/>
        <v>2.5999999999999998E-4</v>
      </c>
      <c r="J59" s="239">
        <f t="shared" si="16"/>
        <v>1.0000000000000001E-5</v>
      </c>
      <c r="K59" s="239">
        <f t="shared" si="16"/>
        <v>2.8000000000000003E-4</v>
      </c>
      <c r="L59" s="239">
        <f t="shared" si="16"/>
        <v>1.0000000000000001E-5</v>
      </c>
      <c r="M59" s="241">
        <f t="shared" si="6"/>
        <v>1.9439999999999995E-2</v>
      </c>
      <c r="N59" s="241">
        <f t="shared" si="7"/>
        <v>0.98055999999999999</v>
      </c>
    </row>
    <row r="60" spans="5:14">
      <c r="E60" s="239">
        <f t="shared" ref="E60:L60" si="17">+E16/100</f>
        <v>9.5E-4</v>
      </c>
      <c r="F60" s="239">
        <f t="shared" si="17"/>
        <v>2.4599999999999999E-3</v>
      </c>
      <c r="G60" s="239">
        <f t="shared" si="17"/>
        <v>3.8999999999999999E-4</v>
      </c>
      <c r="H60" s="239">
        <f t="shared" si="17"/>
        <v>1.2800000000000001E-3</v>
      </c>
      <c r="I60" s="239">
        <f t="shared" si="17"/>
        <v>0</v>
      </c>
      <c r="J60" s="239">
        <f t="shared" si="17"/>
        <v>1.2E-4</v>
      </c>
      <c r="K60" s="239">
        <f t="shared" si="17"/>
        <v>0</v>
      </c>
      <c r="L60" s="239">
        <f t="shared" si="17"/>
        <v>0</v>
      </c>
      <c r="M60" s="241">
        <f t="shared" si="6"/>
        <v>5.2000000000000006E-3</v>
      </c>
      <c r="N60" s="241">
        <f t="shared" si="7"/>
        <v>0.99480000000000002</v>
      </c>
    </row>
    <row r="61" spans="5:14">
      <c r="E61" s="239">
        <f t="shared" ref="E61:L61" si="18">+E17/100</f>
        <v>3.1E-4</v>
      </c>
      <c r="F61" s="239">
        <f t="shared" si="18"/>
        <v>2.2000000000000001E-3</v>
      </c>
      <c r="G61" s="239">
        <f t="shared" si="18"/>
        <v>3.3E-4</v>
      </c>
      <c r="H61" s="239">
        <f t="shared" si="18"/>
        <v>1.1000000000000001E-3</v>
      </c>
      <c r="I61" s="239">
        <f t="shared" si="18"/>
        <v>0</v>
      </c>
      <c r="J61" s="239">
        <f t="shared" si="18"/>
        <v>1.0000000000000001E-5</v>
      </c>
      <c r="K61" s="239">
        <f t="shared" si="18"/>
        <v>2.0000000000000002E-5</v>
      </c>
      <c r="L61" s="239">
        <f t="shared" si="18"/>
        <v>2.1000000000000001E-4</v>
      </c>
      <c r="M61" s="241">
        <f t="shared" si="6"/>
        <v>4.1799999999999997E-3</v>
      </c>
      <c r="N61" s="241">
        <f t="shared" si="7"/>
        <v>0.99582000000000004</v>
      </c>
    </row>
    <row r="62" spans="5:14">
      <c r="E62" s="239">
        <f t="shared" ref="E62:L62" si="19">+E18/100</f>
        <v>0</v>
      </c>
      <c r="F62" s="239">
        <f t="shared" si="19"/>
        <v>4.3999999999999996E-4</v>
      </c>
      <c r="G62" s="239">
        <f t="shared" si="19"/>
        <v>0</v>
      </c>
      <c r="H62" s="239">
        <f t="shared" si="19"/>
        <v>4.0600000000000002E-3</v>
      </c>
      <c r="I62" s="239">
        <f t="shared" si="19"/>
        <v>0</v>
      </c>
      <c r="J62" s="239">
        <f t="shared" si="19"/>
        <v>3.0000000000000001E-5</v>
      </c>
      <c r="K62" s="239">
        <f t="shared" si="19"/>
        <v>0</v>
      </c>
      <c r="L62" s="239">
        <f t="shared" si="19"/>
        <v>1.8999999999999998E-4</v>
      </c>
      <c r="M62" s="241">
        <f t="shared" si="6"/>
        <v>4.7200000000000002E-3</v>
      </c>
      <c r="N62" s="241">
        <f t="shared" si="7"/>
        <v>0.99528000000000005</v>
      </c>
    </row>
    <row r="63" spans="5:14">
      <c r="E63" s="239">
        <f t="shared" ref="E63:L63" si="20">+E19/100</f>
        <v>0</v>
      </c>
      <c r="F63" s="239">
        <f t="shared" si="20"/>
        <v>1E-4</v>
      </c>
      <c r="G63" s="239">
        <f t="shared" si="20"/>
        <v>0</v>
      </c>
      <c r="H63" s="239">
        <f t="shared" si="20"/>
        <v>1.58E-3</v>
      </c>
      <c r="I63" s="239">
        <f t="shared" si="20"/>
        <v>0</v>
      </c>
      <c r="J63" s="239">
        <f t="shared" si="20"/>
        <v>8.0000000000000007E-5</v>
      </c>
      <c r="K63" s="239">
        <f t="shared" si="20"/>
        <v>0</v>
      </c>
      <c r="L63" s="239">
        <f t="shared" si="20"/>
        <v>3.5999999999999997E-4</v>
      </c>
      <c r="M63" s="241">
        <f t="shared" si="6"/>
        <v>2.1199999999999999E-3</v>
      </c>
      <c r="N63" s="241">
        <f t="shared" si="7"/>
        <v>0.99787999999999999</v>
      </c>
    </row>
    <row r="64" spans="5:14">
      <c r="E64" s="239">
        <f t="shared" ref="E64:L64" si="21">+E20/100</f>
        <v>0</v>
      </c>
      <c r="F64" s="239">
        <f t="shared" si="21"/>
        <v>3.5999999999999999E-3</v>
      </c>
      <c r="G64" s="239">
        <f t="shared" si="21"/>
        <v>1.4000000000000002E-3</v>
      </c>
      <c r="H64" s="239">
        <f t="shared" si="21"/>
        <v>5.7999999999999996E-3</v>
      </c>
      <c r="I64" s="239">
        <f t="shared" si="21"/>
        <v>0</v>
      </c>
      <c r="J64" s="239">
        <f t="shared" si="21"/>
        <v>5.0000000000000002E-5</v>
      </c>
      <c r="K64" s="239">
        <f t="shared" si="21"/>
        <v>8.0000000000000007E-5</v>
      </c>
      <c r="L64" s="239">
        <f t="shared" si="21"/>
        <v>1.6000000000000001E-4</v>
      </c>
      <c r="M64" s="241">
        <f t="shared" si="6"/>
        <v>1.1090000000000001E-2</v>
      </c>
      <c r="N64" s="241">
        <f t="shared" si="7"/>
        <v>0.98890999999999996</v>
      </c>
    </row>
    <row r="65" spans="5:14">
      <c r="E65" s="239">
        <f t="shared" ref="E65:L65" si="22">+E21/100</f>
        <v>2.8000000000000003E-4</v>
      </c>
      <c r="F65" s="239">
        <f t="shared" si="22"/>
        <v>5.0000000000000001E-3</v>
      </c>
      <c r="G65" s="239">
        <f t="shared" si="22"/>
        <v>2E-3</v>
      </c>
      <c r="H65" s="239">
        <f t="shared" si="22"/>
        <v>0</v>
      </c>
      <c r="I65" s="239">
        <f t="shared" si="22"/>
        <v>0</v>
      </c>
      <c r="J65" s="239">
        <f t="shared" si="22"/>
        <v>4.0000000000000003E-5</v>
      </c>
      <c r="K65" s="239">
        <f t="shared" si="22"/>
        <v>8.9999999999999992E-5</v>
      </c>
      <c r="L65" s="239">
        <f t="shared" si="22"/>
        <v>0</v>
      </c>
      <c r="M65" s="241">
        <f t="shared" si="6"/>
        <v>7.4099999999999999E-3</v>
      </c>
      <c r="N65" s="241">
        <f t="shared" si="7"/>
        <v>0.99258999999999997</v>
      </c>
    </row>
    <row r="66" spans="5:14">
      <c r="E66" s="239">
        <f t="shared" ref="E66:L66" si="23">+E22/100</f>
        <v>5.1999999999999995E-4</v>
      </c>
      <c r="F66" s="239">
        <f t="shared" si="23"/>
        <v>4.81E-3</v>
      </c>
      <c r="G66" s="239">
        <f t="shared" si="23"/>
        <v>1.0399999999999999E-3</v>
      </c>
      <c r="H66" s="239">
        <f t="shared" si="23"/>
        <v>0</v>
      </c>
      <c r="I66" s="239">
        <f t="shared" si="23"/>
        <v>0</v>
      </c>
      <c r="J66" s="239">
        <f t="shared" si="23"/>
        <v>8.9999999999999992E-5</v>
      </c>
      <c r="K66" s="239">
        <f t="shared" si="23"/>
        <v>0</v>
      </c>
      <c r="L66" s="239">
        <f t="shared" si="23"/>
        <v>1.4000000000000001E-4</v>
      </c>
      <c r="M66" s="241">
        <f t="shared" si="6"/>
        <v>6.6E-3</v>
      </c>
      <c r="N66" s="241">
        <f t="shared" si="7"/>
        <v>0.99339999999999995</v>
      </c>
    </row>
    <row r="67" spans="5:14">
      <c r="E67" s="239">
        <f t="shared" ref="E67:L67" si="24">+E23/100</f>
        <v>4.0379999999999999E-2</v>
      </c>
      <c r="F67" s="239">
        <f t="shared" si="24"/>
        <v>1.7899999999999999E-3</v>
      </c>
      <c r="G67" s="239">
        <f t="shared" si="24"/>
        <v>7.3299999999999997E-3</v>
      </c>
      <c r="H67" s="239">
        <f t="shared" si="24"/>
        <v>0</v>
      </c>
      <c r="I67" s="239">
        <f t="shared" si="24"/>
        <v>1.0999999999999999E-4</v>
      </c>
      <c r="J67" s="239">
        <f t="shared" si="24"/>
        <v>1.0000000000000001E-5</v>
      </c>
      <c r="K67" s="239">
        <f t="shared" si="24"/>
        <v>7.0000000000000007E-5</v>
      </c>
      <c r="L67" s="239">
        <f t="shared" si="24"/>
        <v>0</v>
      </c>
      <c r="M67" s="241">
        <f t="shared" si="6"/>
        <v>4.9690000000000005E-2</v>
      </c>
      <c r="N67" s="241">
        <f t="shared" si="7"/>
        <v>0.95030999999999999</v>
      </c>
    </row>
    <row r="68" spans="5:14">
      <c r="E68" s="239">
        <f t="shared" ref="E68:L68" si="25">+E24/100</f>
        <v>4.5599999999999995E-2</v>
      </c>
      <c r="F68" s="239">
        <f t="shared" si="25"/>
        <v>6.3000000000000003E-4</v>
      </c>
      <c r="G68" s="239">
        <f t="shared" si="25"/>
        <v>1.06E-3</v>
      </c>
      <c r="H68" s="239">
        <f t="shared" si="25"/>
        <v>0</v>
      </c>
      <c r="I68" s="239">
        <f t="shared" si="25"/>
        <v>3.4000000000000002E-4</v>
      </c>
      <c r="J68" s="239">
        <f t="shared" si="25"/>
        <v>0</v>
      </c>
      <c r="K68" s="239">
        <f t="shared" si="25"/>
        <v>8.0000000000000007E-5</v>
      </c>
      <c r="L68" s="239">
        <f t="shared" si="25"/>
        <v>0</v>
      </c>
      <c r="M68" s="241">
        <f t="shared" si="6"/>
        <v>4.7709999999999989E-2</v>
      </c>
      <c r="N68" s="241">
        <f t="shared" si="7"/>
        <v>0.95228999999999997</v>
      </c>
    </row>
    <row r="69" spans="5:14">
      <c r="E69" s="239">
        <f t="shared" ref="E69:L69" si="26">+E25/100</f>
        <v>0.1036</v>
      </c>
      <c r="F69" s="239">
        <f t="shared" si="26"/>
        <v>2.5000000000000001E-4</v>
      </c>
      <c r="G69" s="239">
        <f t="shared" si="26"/>
        <v>1.7499999999999998E-3</v>
      </c>
      <c r="H69" s="239">
        <f t="shared" si="26"/>
        <v>0</v>
      </c>
      <c r="I69" s="239">
        <f t="shared" si="26"/>
        <v>7.1999999999999994E-4</v>
      </c>
      <c r="J69" s="239">
        <f t="shared" si="26"/>
        <v>0</v>
      </c>
      <c r="K69" s="239">
        <f t="shared" si="26"/>
        <v>0</v>
      </c>
      <c r="L69" s="239">
        <f t="shared" si="26"/>
        <v>0</v>
      </c>
      <c r="M69" s="241">
        <f t="shared" si="6"/>
        <v>0.10632</v>
      </c>
      <c r="N69" s="241">
        <f t="shared" si="7"/>
        <v>0.89368000000000003</v>
      </c>
    </row>
    <row r="70" spans="5:14">
      <c r="E70" s="239">
        <f t="shared" ref="E70:L70" si="27">+E26/100</f>
        <v>1.089E-2</v>
      </c>
      <c r="F70" s="239">
        <f t="shared" si="27"/>
        <v>4.6000000000000001E-4</v>
      </c>
      <c r="G70" s="239">
        <f t="shared" si="27"/>
        <v>2.0999999999999999E-3</v>
      </c>
      <c r="H70" s="239">
        <f t="shared" si="27"/>
        <v>0</v>
      </c>
      <c r="I70" s="239">
        <f t="shared" si="27"/>
        <v>6.0000000000000002E-5</v>
      </c>
      <c r="J70" s="239">
        <f t="shared" si="27"/>
        <v>0</v>
      </c>
      <c r="K70" s="239">
        <f t="shared" si="27"/>
        <v>0</v>
      </c>
      <c r="L70" s="239">
        <f t="shared" si="27"/>
        <v>0</v>
      </c>
      <c r="M70" s="241">
        <f t="shared" si="6"/>
        <v>1.3509999999999999E-2</v>
      </c>
      <c r="N70" s="241">
        <f t="shared" si="7"/>
        <v>0.98648999999999998</v>
      </c>
    </row>
    <row r="71" spans="5:14">
      <c r="E71" s="239">
        <f t="shared" ref="E71:L71" si="28">+E27/100</f>
        <v>5.9089999999999997E-2</v>
      </c>
      <c r="F71" s="239">
        <f t="shared" si="28"/>
        <v>2.9999999999999997E-4</v>
      </c>
      <c r="G71" s="239">
        <f t="shared" si="28"/>
        <v>1.9E-3</v>
      </c>
      <c r="H71" s="239">
        <f t="shared" si="28"/>
        <v>0</v>
      </c>
      <c r="I71" s="239">
        <f t="shared" si="28"/>
        <v>3.2000000000000003E-4</v>
      </c>
      <c r="J71" s="239">
        <f t="shared" si="28"/>
        <v>0</v>
      </c>
      <c r="K71" s="239">
        <f t="shared" si="28"/>
        <v>7.0000000000000007E-5</v>
      </c>
      <c r="L71" s="239">
        <f t="shared" si="28"/>
        <v>0</v>
      </c>
      <c r="M71" s="241">
        <f t="shared" si="6"/>
        <v>6.1679999999999999E-2</v>
      </c>
      <c r="N71" s="241">
        <f t="shared" si="7"/>
        <v>0.93832000000000004</v>
      </c>
    </row>
    <row r="72" spans="5:14">
      <c r="E72" s="239">
        <f t="shared" ref="E72:L72" si="29">+E28/100</f>
        <v>7.059E-2</v>
      </c>
      <c r="F72" s="239">
        <f t="shared" si="29"/>
        <v>1.01E-3</v>
      </c>
      <c r="G72" s="239">
        <f t="shared" si="29"/>
        <v>2.5000000000000001E-4</v>
      </c>
      <c r="H72" s="239">
        <f t="shared" si="29"/>
        <v>0</v>
      </c>
      <c r="I72" s="239">
        <f t="shared" si="29"/>
        <v>1.2E-4</v>
      </c>
      <c r="J72" s="239">
        <f t="shared" si="29"/>
        <v>0</v>
      </c>
      <c r="K72" s="239">
        <f t="shared" si="29"/>
        <v>0</v>
      </c>
      <c r="L72" s="239">
        <f t="shared" si="29"/>
        <v>0</v>
      </c>
      <c r="M72" s="241">
        <f t="shared" si="6"/>
        <v>7.1969999999999992E-2</v>
      </c>
      <c r="N72" s="241">
        <f t="shared" si="7"/>
        <v>0.92803000000000002</v>
      </c>
    </row>
    <row r="73" spans="5:14">
      <c r="E73" s="239">
        <f t="shared" ref="E73:L73" si="30">+E29/100</f>
        <v>4.6420000000000003E-2</v>
      </c>
      <c r="F73" s="239">
        <f t="shared" si="30"/>
        <v>2.9999999999999997E-4</v>
      </c>
      <c r="G73" s="239">
        <f t="shared" si="30"/>
        <v>2.3000000000000001E-4</v>
      </c>
      <c r="H73" s="239">
        <f t="shared" si="30"/>
        <v>0</v>
      </c>
      <c r="I73" s="239">
        <f t="shared" si="30"/>
        <v>8.9999999999999992E-5</v>
      </c>
      <c r="J73" s="239">
        <f t="shared" si="30"/>
        <v>0</v>
      </c>
      <c r="K73" s="239">
        <f t="shared" si="30"/>
        <v>1.0999999999999999E-4</v>
      </c>
      <c r="L73" s="239">
        <f t="shared" si="30"/>
        <v>0</v>
      </c>
      <c r="M73" s="241">
        <f t="shared" si="6"/>
        <v>4.7150000000000004E-2</v>
      </c>
      <c r="N73" s="241">
        <f t="shared" si="7"/>
        <v>0.95284999999999997</v>
      </c>
    </row>
    <row r="74" spans="5:14">
      <c r="E74" s="239">
        <f t="shared" ref="E74:L74" si="31">+E30/100</f>
        <v>3.6610000000000004E-2</v>
      </c>
      <c r="F74" s="239">
        <f t="shared" si="31"/>
        <v>1.5E-3</v>
      </c>
      <c r="G74" s="239">
        <f t="shared" si="31"/>
        <v>3.4000000000000002E-3</v>
      </c>
      <c r="H74" s="239">
        <f t="shared" si="31"/>
        <v>0</v>
      </c>
      <c r="I74" s="239">
        <f t="shared" si="31"/>
        <v>2.9E-4</v>
      </c>
      <c r="J74" s="239">
        <f t="shared" si="31"/>
        <v>0</v>
      </c>
      <c r="K74" s="239">
        <f t="shared" si="31"/>
        <v>0</v>
      </c>
      <c r="L74" s="239">
        <f t="shared" si="31"/>
        <v>0</v>
      </c>
      <c r="M74" s="241">
        <f t="shared" si="6"/>
        <v>4.1800000000000004E-2</v>
      </c>
      <c r="N74" s="241">
        <f t="shared" si="7"/>
        <v>0.95819999999999994</v>
      </c>
    </row>
    <row r="75" spans="5:14">
      <c r="E75" s="239">
        <f t="shared" ref="E75:L75" si="32">+E31/100</f>
        <v>4.555E-2</v>
      </c>
      <c r="F75" s="239">
        <f t="shared" si="32"/>
        <v>1.3800000000000002E-3</v>
      </c>
      <c r="G75" s="239">
        <f t="shared" si="32"/>
        <v>2.3E-3</v>
      </c>
      <c r="H75" s="239">
        <f t="shared" si="32"/>
        <v>0</v>
      </c>
      <c r="I75" s="239">
        <f t="shared" si="32"/>
        <v>2.0000000000000001E-4</v>
      </c>
      <c r="J75" s="239">
        <f t="shared" si="32"/>
        <v>0</v>
      </c>
      <c r="K75" s="239">
        <f t="shared" si="32"/>
        <v>8.0000000000000007E-5</v>
      </c>
      <c r="L75" s="239">
        <f t="shared" si="32"/>
        <v>2.0000000000000002E-5</v>
      </c>
      <c r="M75" s="242">
        <f t="shared" si="6"/>
        <v>4.9529999999999991E-2</v>
      </c>
      <c r="N75" s="241">
        <f t="shared" si="7"/>
        <v>0.95047000000000004</v>
      </c>
    </row>
    <row r="76" spans="5:14">
      <c r="E76" s="239">
        <f t="shared" ref="E76:L76" si="33">+E32/100</f>
        <v>9.2240000000000003E-2</v>
      </c>
      <c r="F76" s="239">
        <f t="shared" si="33"/>
        <v>1.5E-3</v>
      </c>
      <c r="G76" s="239">
        <f t="shared" si="33"/>
        <v>2E-3</v>
      </c>
      <c r="H76" s="239">
        <f t="shared" si="33"/>
        <v>0</v>
      </c>
      <c r="I76" s="239">
        <f t="shared" si="33"/>
        <v>8.9999999999999992E-5</v>
      </c>
      <c r="J76" s="239">
        <f t="shared" si="33"/>
        <v>0</v>
      </c>
      <c r="K76" s="239">
        <f t="shared" si="33"/>
        <v>6.0000000000000002E-5</v>
      </c>
      <c r="L76" s="239">
        <f t="shared" si="33"/>
        <v>0</v>
      </c>
      <c r="M76" s="242">
        <f t="shared" ref="M76:M86" si="34">SUM(E76:L76)</f>
        <v>9.5890000000000017E-2</v>
      </c>
      <c r="N76" s="241">
        <f t="shared" si="7"/>
        <v>0.90410999999999997</v>
      </c>
    </row>
    <row r="77" spans="5:14">
      <c r="E77" s="239">
        <f t="shared" ref="E77:L77" si="35">+E33/100</f>
        <v>1.7589999999999998E-2</v>
      </c>
      <c r="F77" s="239">
        <f t="shared" si="35"/>
        <v>4.47E-3</v>
      </c>
      <c r="G77" s="239">
        <f t="shared" si="35"/>
        <v>1.1659999999999998E-2</v>
      </c>
      <c r="H77" s="239">
        <f t="shared" si="35"/>
        <v>0</v>
      </c>
      <c r="I77" s="239">
        <f t="shared" si="35"/>
        <v>2.3000000000000001E-4</v>
      </c>
      <c r="J77" s="239">
        <f t="shared" si="35"/>
        <v>0</v>
      </c>
      <c r="K77" s="239">
        <f t="shared" si="35"/>
        <v>0</v>
      </c>
      <c r="L77" s="239">
        <f t="shared" si="35"/>
        <v>2.0000000000000002E-5</v>
      </c>
      <c r="M77" s="242">
        <f t="shared" si="34"/>
        <v>3.3969999999999993E-2</v>
      </c>
      <c r="N77" s="241">
        <f t="shared" si="7"/>
        <v>0.96603000000000006</v>
      </c>
    </row>
    <row r="78" spans="5:14">
      <c r="E78" s="239">
        <f t="shared" ref="E78:L78" si="36">+E34/100</f>
        <v>0.20144999999999999</v>
      </c>
      <c r="F78" s="239">
        <f t="shared" si="36"/>
        <v>1.24E-3</v>
      </c>
      <c r="G78" s="239">
        <f t="shared" si="36"/>
        <v>1.92E-3</v>
      </c>
      <c r="H78" s="239">
        <f t="shared" si="36"/>
        <v>0</v>
      </c>
      <c r="I78" s="239">
        <f t="shared" si="36"/>
        <v>1.2999999999999999E-4</v>
      </c>
      <c r="J78" s="239">
        <f t="shared" si="36"/>
        <v>0</v>
      </c>
      <c r="K78" s="239">
        <f t="shared" si="36"/>
        <v>0</v>
      </c>
      <c r="L78" s="239">
        <f t="shared" si="36"/>
        <v>4.0000000000000003E-5</v>
      </c>
      <c r="M78" s="242">
        <f t="shared" si="34"/>
        <v>0.20477999999999999</v>
      </c>
      <c r="N78" s="241">
        <f t="shared" si="7"/>
        <v>0.79522000000000004</v>
      </c>
    </row>
    <row r="79" spans="5:14">
      <c r="E79" s="239">
        <f t="shared" ref="E79:L79" si="37">+E35/100</f>
        <v>1.9730000000000001E-2</v>
      </c>
      <c r="F79" s="239">
        <f t="shared" si="37"/>
        <v>3.81E-3</v>
      </c>
      <c r="G79" s="239">
        <f t="shared" si="37"/>
        <v>1.5309999999999999E-2</v>
      </c>
      <c r="H79" s="239">
        <f t="shared" si="37"/>
        <v>0</v>
      </c>
      <c r="I79" s="239">
        <f t="shared" si="37"/>
        <v>3.5999999999999997E-4</v>
      </c>
      <c r="J79" s="239">
        <f t="shared" si="37"/>
        <v>0</v>
      </c>
      <c r="K79" s="239">
        <f t="shared" si="37"/>
        <v>8.0000000000000007E-5</v>
      </c>
      <c r="L79" s="239">
        <f t="shared" si="37"/>
        <v>2.0000000000000002E-5</v>
      </c>
      <c r="M79" s="242">
        <f t="shared" si="34"/>
        <v>3.9309999999999998E-2</v>
      </c>
      <c r="N79" s="241">
        <f t="shared" si="7"/>
        <v>0.96069000000000004</v>
      </c>
    </row>
    <row r="80" spans="5:14">
      <c r="E80" s="239">
        <f t="shared" ref="E80:L80" si="38">+E36/100</f>
        <v>5.8120000000000005E-2</v>
      </c>
      <c r="F80" s="239">
        <f t="shared" si="38"/>
        <v>7.9600000000000001E-3</v>
      </c>
      <c r="G80" s="239">
        <f t="shared" si="38"/>
        <v>3.5699999999999998E-3</v>
      </c>
      <c r="H80" s="239">
        <f t="shared" si="38"/>
        <v>0</v>
      </c>
      <c r="I80" s="239">
        <f t="shared" si="38"/>
        <v>2.0000000000000001E-4</v>
      </c>
      <c r="J80" s="239">
        <f t="shared" si="38"/>
        <v>0</v>
      </c>
      <c r="K80" s="239">
        <f t="shared" si="38"/>
        <v>1E-4</v>
      </c>
      <c r="L80" s="239">
        <f t="shared" si="38"/>
        <v>0</v>
      </c>
      <c r="M80" s="242">
        <f t="shared" si="34"/>
        <v>6.9950000000000012E-2</v>
      </c>
      <c r="N80" s="241">
        <f t="shared" si="7"/>
        <v>0.93005000000000004</v>
      </c>
    </row>
    <row r="81" spans="5:14">
      <c r="E81" s="239">
        <f t="shared" ref="E81:L81" si="39">+E37/100</f>
        <v>6.8700000000000002E-3</v>
      </c>
      <c r="F81" s="239">
        <f t="shared" si="39"/>
        <v>1.306E-2</v>
      </c>
      <c r="G81" s="239">
        <f t="shared" si="39"/>
        <v>2.5000000000000001E-4</v>
      </c>
      <c r="H81" s="239">
        <f t="shared" si="39"/>
        <v>0</v>
      </c>
      <c r="I81" s="239">
        <f t="shared" si="39"/>
        <v>0</v>
      </c>
      <c r="J81" s="239">
        <f t="shared" si="39"/>
        <v>7.7999999999999999E-4</v>
      </c>
      <c r="K81" s="239">
        <f t="shared" si="39"/>
        <v>0</v>
      </c>
      <c r="L81" s="239">
        <f t="shared" si="39"/>
        <v>0</v>
      </c>
      <c r="M81" s="242">
        <f t="shared" si="34"/>
        <v>2.0959999999999999E-2</v>
      </c>
      <c r="N81" s="241">
        <f t="shared" si="7"/>
        <v>0.97904000000000002</v>
      </c>
    </row>
    <row r="82" spans="5:14">
      <c r="E82" s="239">
        <f t="shared" ref="E82:L82" si="40">+E38/100</f>
        <v>6.6300000000000005E-3</v>
      </c>
      <c r="F82" s="239">
        <f t="shared" si="40"/>
        <v>2.9140000000000003E-2</v>
      </c>
      <c r="G82" s="239">
        <f t="shared" si="40"/>
        <v>8.0000000000000004E-4</v>
      </c>
      <c r="H82" s="239">
        <f t="shared" si="40"/>
        <v>1.2999999999999999E-4</v>
      </c>
      <c r="I82" s="239">
        <f t="shared" si="40"/>
        <v>0</v>
      </c>
      <c r="J82" s="239">
        <f t="shared" si="40"/>
        <v>1.06E-3</v>
      </c>
      <c r="K82" s="239">
        <f t="shared" si="40"/>
        <v>0</v>
      </c>
      <c r="L82" s="239">
        <f t="shared" si="40"/>
        <v>0</v>
      </c>
      <c r="M82" s="242">
        <f t="shared" si="34"/>
        <v>3.7760000000000002E-2</v>
      </c>
      <c r="N82" s="241">
        <f t="shared" si="7"/>
        <v>0.96223999999999998</v>
      </c>
    </row>
    <row r="83" spans="5:14">
      <c r="E83" s="239">
        <f t="shared" ref="E83:L83" si="41">+E39/100</f>
        <v>4.8399999999999999E-2</v>
      </c>
      <c r="F83" s="239">
        <f t="shared" si="41"/>
        <v>2.3999999999999998E-3</v>
      </c>
      <c r="G83" s="239">
        <f t="shared" si="41"/>
        <v>2.5000000000000001E-3</v>
      </c>
      <c r="H83" s="239">
        <f t="shared" si="41"/>
        <v>0</v>
      </c>
      <c r="I83" s="239">
        <f t="shared" si="41"/>
        <v>4.4999999999999999E-4</v>
      </c>
      <c r="J83" s="239">
        <f t="shared" si="41"/>
        <v>1.0000000000000001E-5</v>
      </c>
      <c r="K83" s="239">
        <f t="shared" si="41"/>
        <v>1.8999999999999998E-4</v>
      </c>
      <c r="L83" s="239">
        <f t="shared" si="41"/>
        <v>3.0000000000000001E-5</v>
      </c>
      <c r="M83" s="242">
        <f t="shared" si="34"/>
        <v>5.3980000000000007E-2</v>
      </c>
      <c r="N83" s="241">
        <f t="shared" si="7"/>
        <v>0.94601999999999997</v>
      </c>
    </row>
    <row r="84" spans="5:14">
      <c r="E84" s="239">
        <f t="shared" ref="E84:L84" si="42">+E40/100</f>
        <v>1.8E-3</v>
      </c>
      <c r="F84" s="239">
        <f t="shared" si="42"/>
        <v>2.2899999999999999E-3</v>
      </c>
      <c r="G84" s="239">
        <f t="shared" si="42"/>
        <v>0</v>
      </c>
      <c r="H84" s="239">
        <f t="shared" si="42"/>
        <v>3.78E-2</v>
      </c>
      <c r="I84" s="239">
        <f t="shared" si="42"/>
        <v>1.1100000000000001E-3</v>
      </c>
      <c r="J84" s="239">
        <f t="shared" si="42"/>
        <v>0</v>
      </c>
      <c r="K84" s="239">
        <f t="shared" si="42"/>
        <v>0</v>
      </c>
      <c r="L84" s="239">
        <f t="shared" si="42"/>
        <v>0</v>
      </c>
      <c r="M84" s="242">
        <f t="shared" si="34"/>
        <v>4.2999999999999997E-2</v>
      </c>
      <c r="N84" s="241">
        <f t="shared" si="7"/>
        <v>0.95699999999999996</v>
      </c>
    </row>
    <row r="85" spans="5:14">
      <c r="E85" s="239">
        <f t="shared" ref="E85:L85" si="43">+E41/100</f>
        <v>1.8400000000000001E-3</v>
      </c>
      <c r="F85" s="239">
        <f t="shared" si="43"/>
        <v>2.4000000000000001E-4</v>
      </c>
      <c r="G85" s="239">
        <f t="shared" si="43"/>
        <v>0</v>
      </c>
      <c r="H85" s="239">
        <f t="shared" si="43"/>
        <v>2.1700000000000001E-3</v>
      </c>
      <c r="I85" s="239">
        <f t="shared" si="43"/>
        <v>1.6000000000000001E-4</v>
      </c>
      <c r="J85" s="239">
        <f t="shared" si="43"/>
        <v>8.9999999999999992E-5</v>
      </c>
      <c r="K85" s="239">
        <f t="shared" si="43"/>
        <v>1.4999999999999999E-4</v>
      </c>
      <c r="L85" s="239">
        <f t="shared" si="43"/>
        <v>0</v>
      </c>
      <c r="M85" s="242">
        <f t="shared" si="34"/>
        <v>4.6500000000000005E-3</v>
      </c>
      <c r="N85" s="241">
        <f t="shared" si="7"/>
        <v>0.99534999999999996</v>
      </c>
    </row>
    <row r="86" spans="5:14">
      <c r="E86" s="239">
        <f t="shared" ref="E86:L87" si="44">+E42/100</f>
        <v>0</v>
      </c>
      <c r="F86" s="239">
        <f t="shared" si="44"/>
        <v>2.5999999999999998E-4</v>
      </c>
      <c r="G86" s="239">
        <f t="shared" si="44"/>
        <v>7.6999999999999996E-4</v>
      </c>
      <c r="H86" s="239">
        <f t="shared" si="44"/>
        <v>0</v>
      </c>
      <c r="I86" s="239">
        <f t="shared" si="44"/>
        <v>0</v>
      </c>
      <c r="J86" s="239">
        <f t="shared" si="44"/>
        <v>0</v>
      </c>
      <c r="K86" s="239">
        <f t="shared" si="44"/>
        <v>0</v>
      </c>
      <c r="L86" s="239">
        <f t="shared" si="44"/>
        <v>0</v>
      </c>
      <c r="M86" s="242">
        <f t="shared" si="34"/>
        <v>1.0299999999999999E-3</v>
      </c>
      <c r="N86" s="241">
        <f t="shared" si="7"/>
        <v>0.99897000000000002</v>
      </c>
    </row>
    <row r="87" spans="5:14">
      <c r="E87" s="239">
        <f t="shared" si="44"/>
        <v>2.1800000000000001E-3</v>
      </c>
      <c r="F87" s="239">
        <f t="shared" si="44"/>
        <v>8.9999999999999992E-5</v>
      </c>
      <c r="G87" s="239">
        <f t="shared" si="44"/>
        <v>0</v>
      </c>
      <c r="H87" s="239">
        <f t="shared" si="44"/>
        <v>0</v>
      </c>
      <c r="I87" s="239">
        <f t="shared" si="44"/>
        <v>0</v>
      </c>
      <c r="J87" s="239">
        <f t="shared" si="44"/>
        <v>7.0000000000000007E-5</v>
      </c>
      <c r="K87" s="239">
        <f t="shared" si="44"/>
        <v>8.0000000000000007E-5</v>
      </c>
      <c r="L87" s="239">
        <f t="shared" si="44"/>
        <v>0</v>
      </c>
      <c r="M87" s="242">
        <f t="shared" ref="M87" si="45">SUM(E87:L87)</f>
        <v>2.4200000000000003E-3</v>
      </c>
      <c r="N87" s="241">
        <f t="shared" si="7"/>
        <v>0.99758000000000002</v>
      </c>
    </row>
    <row r="88" spans="5:14">
      <c r="E88" s="239">
        <f t="shared" ref="E88:L88" si="46">+E44/100</f>
        <v>4.8300000000000001E-3</v>
      </c>
      <c r="F88" s="239">
        <f t="shared" si="46"/>
        <v>6.4999999999999997E-4</v>
      </c>
      <c r="G88" s="239">
        <f t="shared" si="46"/>
        <v>8.9999999999999992E-5</v>
      </c>
      <c r="H88" s="239">
        <f t="shared" si="46"/>
        <v>0</v>
      </c>
      <c r="I88" s="239">
        <f t="shared" si="46"/>
        <v>0</v>
      </c>
      <c r="J88" s="239">
        <f t="shared" si="46"/>
        <v>1.0000000000000001E-5</v>
      </c>
      <c r="K88" s="239">
        <f t="shared" si="46"/>
        <v>1.4999999999999999E-4</v>
      </c>
      <c r="L88" s="239">
        <f t="shared" si="46"/>
        <v>0</v>
      </c>
      <c r="M88" s="242">
        <f t="shared" ref="M88" si="47">SUM(E88:L88)</f>
        <v>5.7299999999999999E-3</v>
      </c>
      <c r="N88" s="241">
        <f t="shared" si="7"/>
        <v>0.99426999999999999</v>
      </c>
    </row>
    <row r="89" spans="5:14">
      <c r="E89" s="239"/>
      <c r="F89" s="239"/>
      <c r="G89" s="239"/>
      <c r="H89" s="239"/>
      <c r="I89" s="239"/>
      <c r="J89" s="239"/>
      <c r="K89" s="239"/>
      <c r="L89" s="239"/>
      <c r="M89" s="242"/>
      <c r="N89" s="241"/>
    </row>
    <row r="90" spans="5:14">
      <c r="E90" s="239"/>
      <c r="F90" s="239"/>
      <c r="G90" s="239"/>
      <c r="H90" s="239"/>
      <c r="I90" s="239"/>
      <c r="J90" s="239"/>
      <c r="K90" s="239"/>
      <c r="L90" s="239"/>
      <c r="M90" s="242"/>
      <c r="N90" s="241"/>
    </row>
    <row r="91" spans="5:14">
      <c r="E91" s="239"/>
      <c r="F91" s="239"/>
      <c r="G91" s="239"/>
      <c r="H91" s="239"/>
      <c r="I91" s="239"/>
      <c r="J91" s="239"/>
      <c r="K91" s="239"/>
      <c r="L91" s="239"/>
      <c r="M91" s="241"/>
      <c r="N91" s="241"/>
    </row>
    <row r="92" spans="5:14">
      <c r="E92" s="239"/>
      <c r="F92" s="239"/>
      <c r="G92" s="239"/>
      <c r="H92" s="239"/>
      <c r="I92" s="239"/>
      <c r="J92" s="239"/>
      <c r="K92" s="239"/>
      <c r="L92" s="239"/>
      <c r="M92" s="241"/>
      <c r="N92" s="241"/>
    </row>
    <row r="93" spans="5:14">
      <c r="E93" s="239"/>
      <c r="F93" s="239"/>
      <c r="G93" s="239"/>
      <c r="H93" s="239"/>
      <c r="I93" s="239"/>
      <c r="J93" s="239"/>
      <c r="K93" s="239"/>
      <c r="L93" s="239"/>
      <c r="M93" s="241"/>
      <c r="N93" s="241"/>
    </row>
    <row r="94" spans="5:14">
      <c r="E94" s="239"/>
      <c r="F94" s="239"/>
      <c r="G94" s="239"/>
      <c r="H94" s="239"/>
      <c r="I94" s="239"/>
      <c r="J94" s="239"/>
      <c r="K94" s="239"/>
      <c r="L94" s="239"/>
      <c r="M94" s="241"/>
      <c r="N94" s="241"/>
    </row>
    <row r="95" spans="5:14">
      <c r="M95" s="241">
        <f>SUM(M49:M75)/27</f>
        <v>2.9554814814814808E-2</v>
      </c>
      <c r="N95" s="241">
        <f>SUM(N49:N75)/27</f>
        <v>0.97044518518518552</v>
      </c>
    </row>
    <row r="96" spans="5:14" ht="40.5">
      <c r="E96" s="240" t="s">
        <v>143</v>
      </c>
      <c r="F96" s="240" t="s">
        <v>279</v>
      </c>
      <c r="G96" s="240" t="s">
        <v>280</v>
      </c>
      <c r="H96" s="240" t="s">
        <v>278</v>
      </c>
      <c r="I96" s="240" t="s">
        <v>124</v>
      </c>
      <c r="J96" s="240" t="s">
        <v>272</v>
      </c>
      <c r="K96" s="240" t="s">
        <v>277</v>
      </c>
      <c r="L96" s="240" t="s">
        <v>276</v>
      </c>
      <c r="M96" s="240" t="s">
        <v>281</v>
      </c>
      <c r="N96" s="240" t="s">
        <v>282</v>
      </c>
    </row>
    <row r="97" spans="5:14">
      <c r="E97" s="163">
        <f>+$N97*E49</f>
        <v>52.403999999999996</v>
      </c>
      <c r="F97" s="163">
        <f t="shared" ref="F97:M97" si="48">+$N97*F49</f>
        <v>38.112000000000002</v>
      </c>
      <c r="G97" s="163">
        <f t="shared" si="48"/>
        <v>49.625</v>
      </c>
      <c r="H97" s="163">
        <f t="shared" si="48"/>
        <v>0</v>
      </c>
      <c r="I97" s="163">
        <f t="shared" si="48"/>
        <v>7.7415000000000003</v>
      </c>
      <c r="J97" s="163">
        <f t="shared" si="48"/>
        <v>0</v>
      </c>
      <c r="K97" s="163">
        <f t="shared" si="48"/>
        <v>0</v>
      </c>
      <c r="L97" s="163">
        <f t="shared" si="48"/>
        <v>0</v>
      </c>
      <c r="M97" s="163">
        <f t="shared" si="48"/>
        <v>147.88249999999999</v>
      </c>
      <c r="N97">
        <v>19850</v>
      </c>
    </row>
    <row r="98" spans="5:14">
      <c r="E98" s="163">
        <f t="shared" ref="E98:E136" si="49">+N98*E50</f>
        <v>85.402299999999997</v>
      </c>
      <c r="F98" s="163">
        <f t="shared" ref="F98:M98" si="50">+$N98*F50</f>
        <v>359.48410000000001</v>
      </c>
      <c r="G98" s="163">
        <f t="shared" si="50"/>
        <v>11.916599999999999</v>
      </c>
      <c r="H98" s="163">
        <f t="shared" si="50"/>
        <v>95.332799999999992</v>
      </c>
      <c r="I98" s="163">
        <f t="shared" si="50"/>
        <v>7.9444000000000008</v>
      </c>
      <c r="J98" s="163">
        <f t="shared" si="50"/>
        <v>1.9861000000000002</v>
      </c>
      <c r="K98" s="163">
        <f t="shared" si="50"/>
        <v>5.9582999999999995</v>
      </c>
      <c r="L98" s="163">
        <f t="shared" si="50"/>
        <v>1.9861000000000002</v>
      </c>
      <c r="M98" s="163">
        <f t="shared" si="50"/>
        <v>570.01070000000004</v>
      </c>
      <c r="N98">
        <v>19861</v>
      </c>
    </row>
    <row r="99" spans="5:14">
      <c r="E99" s="163">
        <f t="shared" si="49"/>
        <v>3.8313600000000001</v>
      </c>
      <c r="F99" s="163">
        <f t="shared" ref="F99:M99" si="51">+$N99*F51</f>
        <v>32.910400000000003</v>
      </c>
      <c r="G99" s="163">
        <f t="shared" si="51"/>
        <v>73.090559999999996</v>
      </c>
      <c r="H99" s="163">
        <f t="shared" si="51"/>
        <v>40.180160000000001</v>
      </c>
      <c r="I99" s="163">
        <f t="shared" si="51"/>
        <v>7.3680000000000003</v>
      </c>
      <c r="J99" s="163">
        <f t="shared" si="51"/>
        <v>0</v>
      </c>
      <c r="K99" s="163">
        <f t="shared" si="51"/>
        <v>11.887039999999999</v>
      </c>
      <c r="L99" s="163">
        <f t="shared" si="51"/>
        <v>3.8313600000000001</v>
      </c>
      <c r="M99" s="163">
        <f t="shared" si="51"/>
        <v>173.09888000000001</v>
      </c>
      <c r="N99">
        <v>9824</v>
      </c>
    </row>
    <row r="100" spans="5:14">
      <c r="E100" s="163">
        <f t="shared" si="49"/>
        <v>85.600909999999999</v>
      </c>
      <c r="F100" s="163">
        <f t="shared" ref="F100:M100" si="52">+$N100*F52</f>
        <v>359.68271000000004</v>
      </c>
      <c r="G100" s="163">
        <f t="shared" si="52"/>
        <v>11.32077</v>
      </c>
      <c r="H100" s="163">
        <f t="shared" si="52"/>
        <v>95.531409999999994</v>
      </c>
      <c r="I100" s="163">
        <f t="shared" si="52"/>
        <v>8.7388399999999997</v>
      </c>
      <c r="J100" s="163">
        <f t="shared" si="52"/>
        <v>1.5888800000000001</v>
      </c>
      <c r="K100" s="163">
        <f t="shared" si="52"/>
        <v>5.5610800000000005</v>
      </c>
      <c r="L100" s="163">
        <f t="shared" si="52"/>
        <v>1.3902700000000001</v>
      </c>
      <c r="M100" s="163">
        <f t="shared" si="52"/>
        <v>569.41487000000006</v>
      </c>
      <c r="N100">
        <v>19861</v>
      </c>
    </row>
    <row r="101" spans="5:14">
      <c r="E101" s="163">
        <f t="shared" si="49"/>
        <v>13.747560000000002</v>
      </c>
      <c r="F101" s="163">
        <f t="shared" ref="F101:M101" si="53">+$N101*F53</f>
        <v>22.514119999999998</v>
      </c>
      <c r="G101" s="163">
        <f t="shared" si="53"/>
        <v>3.7855599999999998</v>
      </c>
      <c r="H101" s="163">
        <f t="shared" si="53"/>
        <v>35.663959999999996</v>
      </c>
      <c r="I101" s="163">
        <f t="shared" si="53"/>
        <v>0</v>
      </c>
      <c r="J101" s="163">
        <f t="shared" si="53"/>
        <v>0</v>
      </c>
      <c r="K101" s="163">
        <f t="shared" si="53"/>
        <v>0</v>
      </c>
      <c r="L101" s="163">
        <f t="shared" si="53"/>
        <v>0</v>
      </c>
      <c r="M101" s="163">
        <f t="shared" si="53"/>
        <v>75.711200000000005</v>
      </c>
      <c r="N101">
        <v>19924</v>
      </c>
    </row>
    <row r="102" spans="5:14">
      <c r="E102" s="163">
        <f t="shared" si="49"/>
        <v>12.64368</v>
      </c>
      <c r="F102" s="163">
        <f t="shared" ref="F102:M102" si="54">+$N102*F54</f>
        <v>5.5664000000000007</v>
      </c>
      <c r="G102" s="163">
        <f t="shared" si="54"/>
        <v>6.6796800000000003</v>
      </c>
      <c r="H102" s="163">
        <f t="shared" si="54"/>
        <v>10.01952</v>
      </c>
      <c r="I102" s="163">
        <f t="shared" si="54"/>
        <v>0</v>
      </c>
      <c r="J102" s="163">
        <f t="shared" si="54"/>
        <v>12.3256</v>
      </c>
      <c r="K102" s="163">
        <f t="shared" si="54"/>
        <v>0</v>
      </c>
      <c r="L102" s="163">
        <f t="shared" si="54"/>
        <v>0</v>
      </c>
      <c r="M102" s="163">
        <f t="shared" si="54"/>
        <v>47.234880000000004</v>
      </c>
      <c r="N102">
        <v>7952</v>
      </c>
    </row>
    <row r="103" spans="5:14">
      <c r="E103" s="163">
        <f t="shared" si="49"/>
        <v>13.629570000000001</v>
      </c>
      <c r="F103" s="163">
        <f t="shared" ref="F103:M103" si="55">+$N103*F55</f>
        <v>83.160130000000009</v>
      </c>
      <c r="G103" s="163">
        <f t="shared" si="55"/>
        <v>10.66662</v>
      </c>
      <c r="H103" s="163">
        <f t="shared" si="55"/>
        <v>10.66662</v>
      </c>
      <c r="I103" s="163">
        <f t="shared" si="55"/>
        <v>0</v>
      </c>
      <c r="J103" s="163">
        <f t="shared" si="55"/>
        <v>119.50565</v>
      </c>
      <c r="K103" s="163">
        <f t="shared" si="55"/>
        <v>6.5184899999999999</v>
      </c>
      <c r="L103" s="163">
        <f t="shared" si="55"/>
        <v>0</v>
      </c>
      <c r="M103" s="163">
        <f t="shared" si="55"/>
        <v>244.14707999999999</v>
      </c>
      <c r="N103">
        <v>19753</v>
      </c>
    </row>
    <row r="104" spans="5:14">
      <c r="E104" s="163">
        <f t="shared" si="49"/>
        <v>17.796479999999999</v>
      </c>
      <c r="F104" s="163">
        <f t="shared" ref="F104:M104" si="56">+$N104*F56</f>
        <v>282.44736</v>
      </c>
      <c r="G104" s="163">
        <f t="shared" si="56"/>
        <v>36.836800000000004</v>
      </c>
      <c r="H104" s="163">
        <f t="shared" si="56"/>
        <v>36.836800000000004</v>
      </c>
      <c r="I104" s="163">
        <f t="shared" si="56"/>
        <v>22.006399999999999</v>
      </c>
      <c r="J104" s="163">
        <f t="shared" si="56"/>
        <v>0</v>
      </c>
      <c r="K104" s="163">
        <f t="shared" si="56"/>
        <v>17.796479999999999</v>
      </c>
      <c r="L104" s="163">
        <f t="shared" si="56"/>
        <v>0</v>
      </c>
      <c r="M104" s="163">
        <f t="shared" si="56"/>
        <v>413.72032000000002</v>
      </c>
      <c r="N104">
        <v>9568</v>
      </c>
    </row>
    <row r="105" spans="5:14">
      <c r="E105" s="163">
        <f t="shared" si="49"/>
        <v>2142.2238600000001</v>
      </c>
      <c r="F105" s="163">
        <f t="shared" ref="F105:M105" si="57">+$N105*F57</f>
        <v>272.86</v>
      </c>
      <c r="G105" s="163">
        <f t="shared" si="57"/>
        <v>30.287460000000003</v>
      </c>
      <c r="H105" s="163">
        <f t="shared" si="57"/>
        <v>0</v>
      </c>
      <c r="I105" s="163">
        <f t="shared" si="57"/>
        <v>12.82442</v>
      </c>
      <c r="J105" s="163">
        <f t="shared" si="57"/>
        <v>0</v>
      </c>
      <c r="K105" s="163">
        <f t="shared" si="57"/>
        <v>10.09582</v>
      </c>
      <c r="L105" s="163">
        <f t="shared" si="57"/>
        <v>0</v>
      </c>
      <c r="M105" s="163">
        <f t="shared" si="57"/>
        <v>2468.2915599999997</v>
      </c>
      <c r="N105">
        <v>27286</v>
      </c>
    </row>
    <row r="106" spans="5:14">
      <c r="E106" s="163">
        <f t="shared" si="49"/>
        <v>55.85714999999999</v>
      </c>
      <c r="F106" s="163">
        <f t="shared" ref="F106:M106" si="58">+$N106*F58</f>
        <v>176.68290000000002</v>
      </c>
      <c r="G106" s="163">
        <f t="shared" si="58"/>
        <v>100.22595000000001</v>
      </c>
      <c r="H106" s="163">
        <f t="shared" si="58"/>
        <v>40.011150000000001</v>
      </c>
      <c r="I106" s="163">
        <f t="shared" si="58"/>
        <v>8.3191500000000005</v>
      </c>
      <c r="J106" s="163">
        <f t="shared" si="58"/>
        <v>0</v>
      </c>
      <c r="K106" s="163">
        <f t="shared" si="58"/>
        <v>0</v>
      </c>
      <c r="L106" s="163">
        <f t="shared" si="58"/>
        <v>0</v>
      </c>
      <c r="M106" s="163">
        <f t="shared" si="58"/>
        <v>381.0963000000001</v>
      </c>
      <c r="N106">
        <v>39615</v>
      </c>
    </row>
    <row r="107" spans="5:14">
      <c r="E107" s="163">
        <f t="shared" si="49"/>
        <v>292.37524999999999</v>
      </c>
      <c r="F107" s="163">
        <f t="shared" ref="F107:M107" si="59">+$N107*F59</f>
        <v>351.24275</v>
      </c>
      <c r="G107" s="163">
        <f t="shared" si="59"/>
        <v>97.327600000000004</v>
      </c>
      <c r="H107" s="163">
        <f t="shared" si="59"/>
        <v>0</v>
      </c>
      <c r="I107" s="163">
        <f t="shared" si="59"/>
        <v>10.2037</v>
      </c>
      <c r="J107" s="163">
        <f t="shared" si="59"/>
        <v>0.39245000000000002</v>
      </c>
      <c r="K107" s="163">
        <f t="shared" si="59"/>
        <v>10.988600000000002</v>
      </c>
      <c r="L107" s="163">
        <f t="shared" si="59"/>
        <v>0.39245000000000002</v>
      </c>
      <c r="M107" s="163">
        <f t="shared" si="59"/>
        <v>762.92279999999982</v>
      </c>
      <c r="N107">
        <v>39245</v>
      </c>
    </row>
    <row r="108" spans="5:14">
      <c r="E108" s="163">
        <f t="shared" si="49"/>
        <v>33.077100000000002</v>
      </c>
      <c r="F108" s="163">
        <f t="shared" ref="F108:M108" si="60">+$N108*F60</f>
        <v>85.652280000000005</v>
      </c>
      <c r="G108" s="163">
        <f t="shared" si="60"/>
        <v>13.57902</v>
      </c>
      <c r="H108" s="163">
        <f t="shared" si="60"/>
        <v>44.567040000000006</v>
      </c>
      <c r="I108" s="163">
        <f t="shared" si="60"/>
        <v>0</v>
      </c>
      <c r="J108" s="163">
        <f t="shared" si="60"/>
        <v>4.1781600000000001</v>
      </c>
      <c r="K108" s="163">
        <f t="shared" si="60"/>
        <v>0</v>
      </c>
      <c r="L108" s="163">
        <f t="shared" si="60"/>
        <v>0</v>
      </c>
      <c r="M108" s="163">
        <f t="shared" si="60"/>
        <v>181.05360000000002</v>
      </c>
      <c r="N108">
        <v>34818</v>
      </c>
    </row>
    <row r="109" spans="5:14">
      <c r="E109" s="163">
        <f t="shared" si="49"/>
        <v>18.522189999999998</v>
      </c>
      <c r="F109" s="163">
        <f t="shared" ref="F109:M109" si="61">+$N109*F61</f>
        <v>131.4478</v>
      </c>
      <c r="G109" s="163">
        <f t="shared" si="61"/>
        <v>19.717169999999999</v>
      </c>
      <c r="H109" s="163">
        <f t="shared" si="61"/>
        <v>65.7239</v>
      </c>
      <c r="I109" s="163">
        <f t="shared" si="61"/>
        <v>0</v>
      </c>
      <c r="J109" s="163">
        <f t="shared" si="61"/>
        <v>0.59749000000000008</v>
      </c>
      <c r="K109" s="163">
        <f t="shared" si="61"/>
        <v>1.1949800000000002</v>
      </c>
      <c r="L109" s="163">
        <f t="shared" si="61"/>
        <v>12.54729</v>
      </c>
      <c r="M109" s="163">
        <f t="shared" si="61"/>
        <v>249.75081999999998</v>
      </c>
      <c r="N109">
        <v>59749</v>
      </c>
    </row>
    <row r="110" spans="5:14">
      <c r="E110" s="163">
        <f t="shared" si="49"/>
        <v>0</v>
      </c>
      <c r="F110" s="163">
        <f t="shared" ref="F110:M110" si="62">+$N110*F62</f>
        <v>35.034119999999994</v>
      </c>
      <c r="G110" s="163">
        <f t="shared" si="62"/>
        <v>0</v>
      </c>
      <c r="H110" s="163">
        <f t="shared" si="62"/>
        <v>323.26938000000001</v>
      </c>
      <c r="I110" s="163">
        <f t="shared" si="62"/>
        <v>0</v>
      </c>
      <c r="J110" s="163">
        <f t="shared" si="62"/>
        <v>2.38869</v>
      </c>
      <c r="K110" s="163">
        <f t="shared" si="62"/>
        <v>0</v>
      </c>
      <c r="L110" s="163">
        <f t="shared" si="62"/>
        <v>15.128369999999999</v>
      </c>
      <c r="M110" s="163">
        <f t="shared" si="62"/>
        <v>375.82056</v>
      </c>
      <c r="N110">
        <v>79623</v>
      </c>
    </row>
    <row r="111" spans="5:14">
      <c r="E111" s="163">
        <f t="shared" si="49"/>
        <v>0</v>
      </c>
      <c r="F111" s="163">
        <f t="shared" ref="F111:M111" si="63">+$N111*F63</f>
        <v>5.9865000000000004</v>
      </c>
      <c r="G111" s="163">
        <f t="shared" si="63"/>
        <v>0</v>
      </c>
      <c r="H111" s="163">
        <f t="shared" si="63"/>
        <v>94.586700000000008</v>
      </c>
      <c r="I111" s="163">
        <f t="shared" si="63"/>
        <v>0</v>
      </c>
      <c r="J111" s="163">
        <f t="shared" si="63"/>
        <v>4.7892000000000001</v>
      </c>
      <c r="K111" s="163">
        <f t="shared" si="63"/>
        <v>0</v>
      </c>
      <c r="L111" s="163">
        <f t="shared" si="63"/>
        <v>21.551399999999997</v>
      </c>
      <c r="M111" s="163">
        <f t="shared" si="63"/>
        <v>126.91379999999999</v>
      </c>
      <c r="N111">
        <v>59865</v>
      </c>
    </row>
    <row r="112" spans="5:14">
      <c r="E112" s="163">
        <f t="shared" si="49"/>
        <v>0</v>
      </c>
      <c r="F112" s="163">
        <f t="shared" ref="F112:M112" si="64">+$N112*F64</f>
        <v>177.98759999999999</v>
      </c>
      <c r="G112" s="163">
        <f t="shared" si="64"/>
        <v>69.217400000000012</v>
      </c>
      <c r="H112" s="163">
        <f t="shared" si="64"/>
        <v>286.75779999999997</v>
      </c>
      <c r="I112" s="163">
        <f t="shared" si="64"/>
        <v>0</v>
      </c>
      <c r="J112" s="163">
        <f t="shared" si="64"/>
        <v>2.4720500000000003</v>
      </c>
      <c r="K112" s="163">
        <f t="shared" si="64"/>
        <v>3.9552800000000001</v>
      </c>
      <c r="L112" s="163">
        <f t="shared" si="64"/>
        <v>7.9105600000000003</v>
      </c>
      <c r="M112" s="163">
        <f t="shared" si="64"/>
        <v>548.30069000000003</v>
      </c>
      <c r="N112">
        <v>49441</v>
      </c>
    </row>
    <row r="113" spans="5:14">
      <c r="E113" s="163">
        <f t="shared" si="49"/>
        <v>11.116840000000002</v>
      </c>
      <c r="F113" s="163">
        <f t="shared" ref="F113:M113" si="65">+$N113*F65</f>
        <v>198.51500000000001</v>
      </c>
      <c r="G113" s="163">
        <f t="shared" si="65"/>
        <v>79.406000000000006</v>
      </c>
      <c r="H113" s="163">
        <f t="shared" si="65"/>
        <v>0</v>
      </c>
      <c r="I113" s="163">
        <f t="shared" si="65"/>
        <v>0</v>
      </c>
      <c r="J113" s="163">
        <f t="shared" si="65"/>
        <v>1.5881200000000002</v>
      </c>
      <c r="K113" s="163">
        <f t="shared" si="65"/>
        <v>3.5732699999999995</v>
      </c>
      <c r="L113" s="163">
        <f t="shared" si="65"/>
        <v>0</v>
      </c>
      <c r="M113" s="163">
        <f t="shared" si="65"/>
        <v>294.19923</v>
      </c>
      <c r="N113">
        <v>39703</v>
      </c>
    </row>
    <row r="114" spans="5:14">
      <c r="E114" s="163">
        <f t="shared" si="49"/>
        <v>10.331359999999998</v>
      </c>
      <c r="F114" s="163">
        <f t="shared" ref="F114:M114" si="66">+$N114*F66</f>
        <v>95.565079999999995</v>
      </c>
      <c r="G114" s="163">
        <f t="shared" si="66"/>
        <v>20.662719999999997</v>
      </c>
      <c r="H114" s="163">
        <f t="shared" si="66"/>
        <v>0</v>
      </c>
      <c r="I114" s="163">
        <f t="shared" si="66"/>
        <v>0</v>
      </c>
      <c r="J114" s="163">
        <f t="shared" si="66"/>
        <v>1.7881199999999999</v>
      </c>
      <c r="K114" s="163">
        <f t="shared" si="66"/>
        <v>0</v>
      </c>
      <c r="L114" s="163">
        <f t="shared" si="66"/>
        <v>2.7815200000000004</v>
      </c>
      <c r="M114" s="163">
        <f t="shared" si="66"/>
        <v>131.12880000000001</v>
      </c>
      <c r="N114">
        <v>19868</v>
      </c>
    </row>
    <row r="115" spans="5:14">
      <c r="E115" s="163">
        <f t="shared" si="49"/>
        <v>3453.6206400000001</v>
      </c>
      <c r="F115" s="163">
        <f t="shared" ref="F115:M115" si="67">+$N115*F67</f>
        <v>153.09511999999998</v>
      </c>
      <c r="G115" s="163">
        <f t="shared" si="67"/>
        <v>626.92023999999992</v>
      </c>
      <c r="H115" s="163">
        <f t="shared" si="67"/>
        <v>0</v>
      </c>
      <c r="I115" s="163">
        <f t="shared" si="67"/>
        <v>9.40808</v>
      </c>
      <c r="J115" s="163">
        <f t="shared" si="67"/>
        <v>0.85528000000000004</v>
      </c>
      <c r="K115" s="163">
        <f t="shared" si="67"/>
        <v>5.9869600000000007</v>
      </c>
      <c r="L115" s="163">
        <f t="shared" si="67"/>
        <v>0</v>
      </c>
      <c r="M115" s="163">
        <f t="shared" si="67"/>
        <v>4249.8863200000005</v>
      </c>
      <c r="N115">
        <v>85528</v>
      </c>
    </row>
    <row r="116" spans="5:14">
      <c r="E116" s="163">
        <f t="shared" si="49"/>
        <v>3039.6959999999995</v>
      </c>
      <c r="F116" s="163">
        <f t="shared" ref="F116:M116" si="68">+$N116*F68</f>
        <v>41.995800000000003</v>
      </c>
      <c r="G116" s="163">
        <f t="shared" si="68"/>
        <v>70.659599999999998</v>
      </c>
      <c r="H116" s="163">
        <f t="shared" si="68"/>
        <v>0</v>
      </c>
      <c r="I116" s="163">
        <f t="shared" si="68"/>
        <v>22.664400000000001</v>
      </c>
      <c r="J116" s="163">
        <f t="shared" si="68"/>
        <v>0</v>
      </c>
      <c r="K116" s="163">
        <f t="shared" si="68"/>
        <v>5.3328000000000007</v>
      </c>
      <c r="L116" s="163">
        <f t="shared" si="68"/>
        <v>0</v>
      </c>
      <c r="M116" s="163">
        <f t="shared" si="68"/>
        <v>3180.3485999999994</v>
      </c>
      <c r="N116">
        <v>66660</v>
      </c>
    </row>
    <row r="117" spans="5:14">
      <c r="E117" s="163">
        <f t="shared" si="49"/>
        <v>7869.5595999999996</v>
      </c>
      <c r="F117" s="163">
        <f t="shared" ref="F117:M117" si="69">+$N117*F69</f>
        <v>18.99025</v>
      </c>
      <c r="G117" s="163">
        <f t="shared" si="69"/>
        <v>132.93174999999999</v>
      </c>
      <c r="H117" s="163">
        <f t="shared" si="69"/>
        <v>0</v>
      </c>
      <c r="I117" s="163">
        <f t="shared" si="69"/>
        <v>54.691919999999996</v>
      </c>
      <c r="J117" s="163">
        <f t="shared" si="69"/>
        <v>0</v>
      </c>
      <c r="K117" s="163">
        <f t="shared" si="69"/>
        <v>0</v>
      </c>
      <c r="L117" s="163">
        <f t="shared" si="69"/>
        <v>0</v>
      </c>
      <c r="M117" s="163">
        <f t="shared" si="69"/>
        <v>8076.1735200000003</v>
      </c>
      <c r="N117">
        <v>75961</v>
      </c>
    </row>
    <row r="118" spans="5:14">
      <c r="E118" s="163">
        <f t="shared" si="49"/>
        <v>966.85775999999998</v>
      </c>
      <c r="F118" s="163">
        <f t="shared" ref="F118:M118" si="70">+$N118*F70</f>
        <v>40.84064</v>
      </c>
      <c r="G118" s="163">
        <f t="shared" si="70"/>
        <v>186.44639999999998</v>
      </c>
      <c r="H118" s="163">
        <f t="shared" si="70"/>
        <v>0</v>
      </c>
      <c r="I118" s="163">
        <f t="shared" si="70"/>
        <v>5.3270400000000002</v>
      </c>
      <c r="J118" s="163">
        <f t="shared" si="70"/>
        <v>0</v>
      </c>
      <c r="K118" s="163">
        <f t="shared" si="70"/>
        <v>0</v>
      </c>
      <c r="L118" s="163">
        <f t="shared" si="70"/>
        <v>0</v>
      </c>
      <c r="M118" s="163">
        <f t="shared" si="70"/>
        <v>1199.4718399999999</v>
      </c>
      <c r="N118">
        <v>88784</v>
      </c>
    </row>
    <row r="119" spans="5:14">
      <c r="E119" s="163">
        <f t="shared" si="49"/>
        <v>6098.9152599999998</v>
      </c>
      <c r="F119" s="163">
        <f t="shared" ref="F119:M119" si="71">+$N119*F71</f>
        <v>30.964199999999998</v>
      </c>
      <c r="G119" s="163">
        <f t="shared" si="71"/>
        <v>196.10659999999999</v>
      </c>
      <c r="H119" s="163">
        <f t="shared" si="71"/>
        <v>0</v>
      </c>
      <c r="I119" s="163">
        <f t="shared" si="71"/>
        <v>33.028480000000002</v>
      </c>
      <c r="J119" s="163">
        <f t="shared" si="71"/>
        <v>0</v>
      </c>
      <c r="K119" s="163">
        <f t="shared" si="71"/>
        <v>7.2249800000000004</v>
      </c>
      <c r="L119" s="163">
        <f t="shared" si="71"/>
        <v>0</v>
      </c>
      <c r="M119" s="163">
        <f t="shared" si="71"/>
        <v>6366.2395200000001</v>
      </c>
      <c r="N119">
        <v>103214</v>
      </c>
    </row>
    <row r="120" spans="5:14">
      <c r="E120" s="163">
        <f t="shared" si="49"/>
        <v>5568.3509700000004</v>
      </c>
      <c r="F120" s="163">
        <f t="shared" ref="F120:M120" si="72">+$N120*F72</f>
        <v>79.67183</v>
      </c>
      <c r="G120" s="163">
        <f t="shared" si="72"/>
        <v>19.720749999999999</v>
      </c>
      <c r="H120" s="163">
        <f t="shared" si="72"/>
        <v>0</v>
      </c>
      <c r="I120" s="163">
        <f t="shared" si="72"/>
        <v>9.4659600000000008</v>
      </c>
      <c r="J120" s="163">
        <f t="shared" si="72"/>
        <v>0</v>
      </c>
      <c r="K120" s="163">
        <f t="shared" si="72"/>
        <v>0</v>
      </c>
      <c r="L120" s="163">
        <f t="shared" si="72"/>
        <v>0</v>
      </c>
      <c r="M120" s="163">
        <f t="shared" si="72"/>
        <v>5677.2095099999997</v>
      </c>
      <c r="N120">
        <v>78883</v>
      </c>
    </row>
    <row r="121" spans="5:14">
      <c r="E121" s="163">
        <f t="shared" si="49"/>
        <v>3980.8399400000003</v>
      </c>
      <c r="F121" s="163">
        <f t="shared" ref="F121:M121" si="73">+$N121*F73</f>
        <v>25.727099999999997</v>
      </c>
      <c r="G121" s="163">
        <f t="shared" si="73"/>
        <v>19.72411</v>
      </c>
      <c r="H121" s="163">
        <f t="shared" si="73"/>
        <v>0</v>
      </c>
      <c r="I121" s="163">
        <f t="shared" si="73"/>
        <v>7.7181299999999995</v>
      </c>
      <c r="J121" s="163">
        <f t="shared" si="73"/>
        <v>0</v>
      </c>
      <c r="K121" s="163">
        <f t="shared" si="73"/>
        <v>9.4332699999999985</v>
      </c>
      <c r="L121" s="163">
        <f t="shared" si="73"/>
        <v>0</v>
      </c>
      <c r="M121" s="163">
        <f t="shared" si="73"/>
        <v>4043.4425500000002</v>
      </c>
      <c r="N121">
        <v>85757</v>
      </c>
    </row>
    <row r="122" spans="5:14">
      <c r="E122" s="163">
        <f t="shared" si="49"/>
        <v>3157.1731800000002</v>
      </c>
      <c r="F122" s="163">
        <f t="shared" ref="F122:M122" si="74">+$N122*F74</f>
        <v>129.357</v>
      </c>
      <c r="G122" s="163">
        <f t="shared" si="74"/>
        <v>293.20920000000001</v>
      </c>
      <c r="H122" s="163">
        <f t="shared" si="74"/>
        <v>0</v>
      </c>
      <c r="I122" s="163">
        <f t="shared" si="74"/>
        <v>25.00902</v>
      </c>
      <c r="J122" s="163">
        <f t="shared" si="74"/>
        <v>0</v>
      </c>
      <c r="K122" s="163">
        <f t="shared" si="74"/>
        <v>0</v>
      </c>
      <c r="L122" s="163">
        <f t="shared" si="74"/>
        <v>0</v>
      </c>
      <c r="M122" s="163">
        <f t="shared" si="74"/>
        <v>3604.7484000000004</v>
      </c>
      <c r="N122">
        <v>86238</v>
      </c>
    </row>
    <row r="123" spans="5:14">
      <c r="E123" s="163">
        <f t="shared" si="49"/>
        <v>3463.57645</v>
      </c>
      <c r="F123" s="163">
        <f t="shared" ref="F123:M123" si="75">+$N123*F75</f>
        <v>104.93382000000001</v>
      </c>
      <c r="G123" s="163">
        <f t="shared" si="75"/>
        <v>174.8897</v>
      </c>
      <c r="H123" s="163">
        <f t="shared" si="75"/>
        <v>0</v>
      </c>
      <c r="I123" s="163">
        <f t="shared" si="75"/>
        <v>15.207800000000001</v>
      </c>
      <c r="J123" s="163">
        <f t="shared" si="75"/>
        <v>0</v>
      </c>
      <c r="K123" s="163">
        <f t="shared" si="75"/>
        <v>6.0831200000000001</v>
      </c>
      <c r="L123" s="163">
        <f t="shared" si="75"/>
        <v>1.52078</v>
      </c>
      <c r="M123" s="163">
        <f t="shared" si="75"/>
        <v>3766.2116699999992</v>
      </c>
      <c r="N123">
        <v>76039</v>
      </c>
    </row>
    <row r="124" spans="5:14">
      <c r="E124" s="163">
        <f t="shared" si="49"/>
        <v>3335.7673600000003</v>
      </c>
      <c r="F124" s="163">
        <f t="shared" ref="F124:M124" si="76">+$N124*F76</f>
        <v>54.246000000000002</v>
      </c>
      <c r="G124" s="163">
        <f t="shared" si="76"/>
        <v>72.328000000000003</v>
      </c>
      <c r="H124" s="163">
        <f t="shared" si="76"/>
        <v>0</v>
      </c>
      <c r="I124" s="163">
        <f t="shared" si="76"/>
        <v>3.2547599999999997</v>
      </c>
      <c r="J124" s="163">
        <f t="shared" si="76"/>
        <v>0</v>
      </c>
      <c r="K124" s="163">
        <f t="shared" si="76"/>
        <v>2.1698400000000002</v>
      </c>
      <c r="L124" s="163">
        <f t="shared" si="76"/>
        <v>0</v>
      </c>
      <c r="M124" s="163">
        <f t="shared" si="76"/>
        <v>3467.7659600000006</v>
      </c>
      <c r="N124">
        <v>36164</v>
      </c>
    </row>
    <row r="125" spans="5:14">
      <c r="E125" s="163">
        <f t="shared" si="49"/>
        <v>849.61458999999991</v>
      </c>
      <c r="F125" s="163">
        <f t="shared" ref="F125:M125" si="77">+$N125*F77</f>
        <v>215.90547000000001</v>
      </c>
      <c r="G125" s="163">
        <f t="shared" si="77"/>
        <v>563.18965999999989</v>
      </c>
      <c r="H125" s="163">
        <f t="shared" si="77"/>
        <v>0</v>
      </c>
      <c r="I125" s="163">
        <f t="shared" si="77"/>
        <v>11.10923</v>
      </c>
      <c r="J125" s="163">
        <f t="shared" si="77"/>
        <v>0</v>
      </c>
      <c r="K125" s="163">
        <f t="shared" si="77"/>
        <v>0</v>
      </c>
      <c r="L125" s="163">
        <f t="shared" si="77"/>
        <v>0.9660200000000001</v>
      </c>
      <c r="M125" s="163">
        <f t="shared" si="77"/>
        <v>1640.7849699999997</v>
      </c>
      <c r="N125">
        <v>48301</v>
      </c>
    </row>
    <row r="126" spans="5:14">
      <c r="E126" s="163">
        <f t="shared" si="49"/>
        <v>11213.9157</v>
      </c>
      <c r="F126" s="163">
        <f t="shared" ref="F126:M126" si="78">+$N126*F78</f>
        <v>69.025840000000002</v>
      </c>
      <c r="G126" s="163">
        <f t="shared" si="78"/>
        <v>106.87872</v>
      </c>
      <c r="H126" s="163">
        <f t="shared" si="78"/>
        <v>0</v>
      </c>
      <c r="I126" s="163">
        <f t="shared" si="78"/>
        <v>7.2365799999999991</v>
      </c>
      <c r="J126" s="163">
        <f t="shared" si="78"/>
        <v>0</v>
      </c>
      <c r="K126" s="163">
        <f t="shared" si="78"/>
        <v>0</v>
      </c>
      <c r="L126" s="163">
        <f t="shared" si="78"/>
        <v>2.2266400000000002</v>
      </c>
      <c r="M126" s="163">
        <f t="shared" si="78"/>
        <v>11399.28348</v>
      </c>
      <c r="N126">
        <v>55666</v>
      </c>
    </row>
    <row r="127" spans="5:14">
      <c r="E127" s="163">
        <f t="shared" si="49"/>
        <v>758.16471000000001</v>
      </c>
      <c r="F127" s="163">
        <f t="shared" ref="F127:M127" si="79">+$N127*F79</f>
        <v>146.40687</v>
      </c>
      <c r="G127" s="163">
        <f t="shared" si="79"/>
        <v>588.31736999999998</v>
      </c>
      <c r="H127" s="163">
        <f t="shared" si="79"/>
        <v>0</v>
      </c>
      <c r="I127" s="163">
        <f t="shared" si="79"/>
        <v>13.83372</v>
      </c>
      <c r="J127" s="163">
        <f t="shared" si="79"/>
        <v>0</v>
      </c>
      <c r="K127" s="163">
        <f t="shared" si="79"/>
        <v>3.0741600000000004</v>
      </c>
      <c r="L127" s="163">
        <f t="shared" si="79"/>
        <v>0.76854000000000011</v>
      </c>
      <c r="M127" s="163">
        <f t="shared" si="79"/>
        <v>1510.5653699999998</v>
      </c>
      <c r="N127">
        <v>38427</v>
      </c>
    </row>
    <row r="128" spans="5:14">
      <c r="E128" s="163">
        <f t="shared" si="49"/>
        <v>2162.0640000000003</v>
      </c>
      <c r="F128" s="163">
        <f t="shared" ref="F128:M128" si="80">+$N128*F80</f>
        <v>296.11200000000002</v>
      </c>
      <c r="G128" s="163">
        <f t="shared" si="80"/>
        <v>132.804</v>
      </c>
      <c r="H128" s="163">
        <f t="shared" si="80"/>
        <v>0</v>
      </c>
      <c r="I128" s="163">
        <f t="shared" si="80"/>
        <v>7.44</v>
      </c>
      <c r="J128" s="163">
        <f t="shared" si="80"/>
        <v>0</v>
      </c>
      <c r="K128" s="163">
        <f t="shared" si="80"/>
        <v>3.72</v>
      </c>
      <c r="L128" s="163">
        <f t="shared" si="80"/>
        <v>0</v>
      </c>
      <c r="M128" s="163">
        <f t="shared" si="80"/>
        <v>2602.1400000000003</v>
      </c>
      <c r="N128">
        <v>37200</v>
      </c>
    </row>
    <row r="129" spans="5:14">
      <c r="E129" s="163">
        <f t="shared" si="49"/>
        <v>538.07901000000004</v>
      </c>
      <c r="F129" s="163">
        <f t="shared" ref="F129:M129" si="81">+$N129*F81</f>
        <v>1022.8983800000001</v>
      </c>
      <c r="G129" s="163">
        <f t="shared" si="81"/>
        <v>19.580750000000002</v>
      </c>
      <c r="H129" s="163">
        <f t="shared" si="81"/>
        <v>0</v>
      </c>
      <c r="I129" s="163">
        <f t="shared" si="81"/>
        <v>0</v>
      </c>
      <c r="J129" s="163">
        <f t="shared" si="81"/>
        <v>61.091940000000001</v>
      </c>
      <c r="K129" s="163">
        <f t="shared" si="81"/>
        <v>0</v>
      </c>
      <c r="L129" s="163">
        <f t="shared" si="81"/>
        <v>0</v>
      </c>
      <c r="M129" s="163">
        <f t="shared" si="81"/>
        <v>1641.6500799999999</v>
      </c>
      <c r="N129">
        <v>78323</v>
      </c>
    </row>
    <row r="130" spans="5:14">
      <c r="E130" s="163">
        <f t="shared" si="49"/>
        <v>95.690790000000007</v>
      </c>
      <c r="F130" s="163">
        <f t="shared" ref="F130:M130" si="82">+$N130*F82</f>
        <v>420.57762000000002</v>
      </c>
      <c r="G130" s="163">
        <f t="shared" si="82"/>
        <v>11.5464</v>
      </c>
      <c r="H130" s="163">
        <f t="shared" si="82"/>
        <v>1.8762899999999998</v>
      </c>
      <c r="I130" s="163">
        <f t="shared" si="82"/>
        <v>0</v>
      </c>
      <c r="J130" s="163">
        <f t="shared" si="82"/>
        <v>15.29898</v>
      </c>
      <c r="K130" s="163">
        <f t="shared" si="82"/>
        <v>0</v>
      </c>
      <c r="L130" s="163">
        <f t="shared" si="82"/>
        <v>0</v>
      </c>
      <c r="M130" s="163">
        <f t="shared" si="82"/>
        <v>544.99008000000003</v>
      </c>
      <c r="N130">
        <v>14433</v>
      </c>
    </row>
    <row r="131" spans="5:14">
      <c r="E131" s="163">
        <f t="shared" si="49"/>
        <v>2060.4364</v>
      </c>
      <c r="F131" s="163">
        <f t="shared" ref="F131:M131" si="83">+$N131*F83</f>
        <v>102.17039999999999</v>
      </c>
      <c r="G131" s="163">
        <f t="shared" si="83"/>
        <v>106.42750000000001</v>
      </c>
      <c r="H131" s="163">
        <f t="shared" si="83"/>
        <v>0</v>
      </c>
      <c r="I131" s="163">
        <f t="shared" si="83"/>
        <v>19.156949999999998</v>
      </c>
      <c r="J131" s="163">
        <f t="shared" si="83"/>
        <v>0.42571000000000003</v>
      </c>
      <c r="K131" s="163">
        <f t="shared" si="83"/>
        <v>8.0884900000000002</v>
      </c>
      <c r="L131" s="163">
        <f t="shared" si="83"/>
        <v>1.2771300000000001</v>
      </c>
      <c r="M131" s="163">
        <f t="shared" si="83"/>
        <v>2297.9825800000003</v>
      </c>
      <c r="N131">
        <v>42571</v>
      </c>
    </row>
    <row r="132" spans="5:14">
      <c r="E132" s="163">
        <f t="shared" si="49"/>
        <v>43.064999999999998</v>
      </c>
      <c r="F132" s="163">
        <f t="shared" ref="F132:M132" si="84">+$N132*F84</f>
        <v>54.788249999999998</v>
      </c>
      <c r="G132" s="163">
        <f t="shared" si="84"/>
        <v>0</v>
      </c>
      <c r="H132" s="163">
        <f t="shared" si="84"/>
        <v>904.36500000000001</v>
      </c>
      <c r="I132" s="163">
        <f t="shared" si="84"/>
        <v>26.556750000000001</v>
      </c>
      <c r="J132" s="163">
        <f t="shared" si="84"/>
        <v>0</v>
      </c>
      <c r="K132" s="163">
        <f t="shared" si="84"/>
        <v>0</v>
      </c>
      <c r="L132" s="163">
        <f t="shared" si="84"/>
        <v>0</v>
      </c>
      <c r="M132" s="163">
        <f t="shared" si="84"/>
        <v>1028.7749999999999</v>
      </c>
      <c r="N132">
        <v>23925</v>
      </c>
    </row>
    <row r="133" spans="5:14">
      <c r="E133" s="163">
        <f t="shared" si="49"/>
        <v>82.413600000000002</v>
      </c>
      <c r="F133" s="163">
        <f t="shared" ref="F133:M133" si="85">+$N133*F85</f>
        <v>10.749600000000001</v>
      </c>
      <c r="G133" s="163">
        <f t="shared" si="85"/>
        <v>0</v>
      </c>
      <c r="H133" s="163">
        <f t="shared" si="85"/>
        <v>97.194299999999998</v>
      </c>
      <c r="I133" s="163">
        <f t="shared" si="85"/>
        <v>7.1664000000000003</v>
      </c>
      <c r="J133" s="163">
        <f t="shared" si="85"/>
        <v>4.0310999999999995</v>
      </c>
      <c r="K133" s="163">
        <f t="shared" si="85"/>
        <v>6.7184999999999997</v>
      </c>
      <c r="L133" s="163">
        <f t="shared" si="85"/>
        <v>0</v>
      </c>
      <c r="M133" s="163">
        <f t="shared" si="85"/>
        <v>208.27350000000001</v>
      </c>
      <c r="N133">
        <v>44790</v>
      </c>
    </row>
    <row r="134" spans="5:14">
      <c r="E134" s="163">
        <f t="shared" si="49"/>
        <v>0</v>
      </c>
      <c r="F134" s="163">
        <f t="shared" ref="F134:M134" si="86">+$N134*F86</f>
        <v>20.778679999999998</v>
      </c>
      <c r="G134" s="163">
        <f t="shared" si="86"/>
        <v>61.536859999999997</v>
      </c>
      <c r="H134" s="163">
        <f t="shared" si="86"/>
        <v>0</v>
      </c>
      <c r="I134" s="163">
        <f t="shared" si="86"/>
        <v>0</v>
      </c>
      <c r="J134" s="163">
        <f t="shared" si="86"/>
        <v>0</v>
      </c>
      <c r="K134" s="163">
        <f t="shared" si="86"/>
        <v>0</v>
      </c>
      <c r="L134" s="163">
        <f t="shared" si="86"/>
        <v>0</v>
      </c>
      <c r="M134" s="163">
        <f t="shared" si="86"/>
        <v>82.315539999999984</v>
      </c>
      <c r="N134">
        <v>79918</v>
      </c>
    </row>
    <row r="135" spans="5:14">
      <c r="E135" s="163">
        <f t="shared" si="49"/>
        <v>86.98854</v>
      </c>
      <c r="F135" s="163">
        <f t="shared" ref="F135:M135" si="87">+$N135*F87</f>
        <v>3.5912699999999997</v>
      </c>
      <c r="G135" s="163">
        <f t="shared" si="87"/>
        <v>0</v>
      </c>
      <c r="H135" s="163">
        <f t="shared" si="87"/>
        <v>0</v>
      </c>
      <c r="I135" s="163">
        <f t="shared" si="87"/>
        <v>0</v>
      </c>
      <c r="J135" s="163">
        <f t="shared" si="87"/>
        <v>2.7932100000000002</v>
      </c>
      <c r="K135" s="163">
        <f t="shared" si="87"/>
        <v>3.1922400000000004</v>
      </c>
      <c r="L135" s="163">
        <f t="shared" si="87"/>
        <v>0</v>
      </c>
      <c r="M135" s="163">
        <f t="shared" si="87"/>
        <v>96.565260000000009</v>
      </c>
      <c r="N135">
        <v>39903</v>
      </c>
    </row>
    <row r="136" spans="5:14">
      <c r="E136" s="163">
        <f t="shared" si="49"/>
        <v>120.05931</v>
      </c>
      <c r="F136" s="163">
        <f t="shared" ref="F136:M136" si="88">+$N136*F88</f>
        <v>16.157049999999998</v>
      </c>
      <c r="G136" s="163">
        <f t="shared" si="88"/>
        <v>2.2371299999999996</v>
      </c>
      <c r="H136" s="163">
        <f t="shared" si="88"/>
        <v>0</v>
      </c>
      <c r="I136" s="163">
        <f t="shared" si="88"/>
        <v>0</v>
      </c>
      <c r="J136" s="163">
        <f t="shared" si="88"/>
        <v>0.24857000000000001</v>
      </c>
      <c r="K136" s="163">
        <f t="shared" si="88"/>
        <v>3.7285499999999998</v>
      </c>
      <c r="L136" s="163">
        <f t="shared" si="88"/>
        <v>0</v>
      </c>
      <c r="M136" s="163">
        <f t="shared" si="88"/>
        <v>142.43061</v>
      </c>
      <c r="N136">
        <v>24857</v>
      </c>
    </row>
    <row r="137" spans="5:14">
      <c r="E137" s="163"/>
      <c r="F137" s="163"/>
      <c r="G137" s="163"/>
      <c r="H137" s="163"/>
      <c r="I137" s="163"/>
      <c r="J137" s="163"/>
      <c r="K137" s="163"/>
      <c r="L137" s="163"/>
      <c r="M137" s="163"/>
    </row>
    <row r="138" spans="5:14">
      <c r="E138" s="406" t="s">
        <v>283</v>
      </c>
      <c r="F138" s="407"/>
      <c r="G138" s="407"/>
      <c r="H138" s="407"/>
      <c r="I138" s="407"/>
      <c r="J138" s="407"/>
      <c r="K138" s="407"/>
      <c r="L138" s="407"/>
      <c r="M138" s="407"/>
      <c r="N138" s="408"/>
    </row>
    <row r="139" spans="5:14" ht="40.5">
      <c r="E139" s="240" t="s">
        <v>143</v>
      </c>
      <c r="F139" s="240" t="s">
        <v>279</v>
      </c>
      <c r="G139" s="240" t="s">
        <v>280</v>
      </c>
      <c r="H139" s="240" t="s">
        <v>278</v>
      </c>
      <c r="I139" s="240" t="s">
        <v>124</v>
      </c>
      <c r="J139" s="240" t="s">
        <v>272</v>
      </c>
      <c r="K139" s="240" t="s">
        <v>277</v>
      </c>
      <c r="L139" s="240" t="s">
        <v>276</v>
      </c>
      <c r="M139" s="240" t="s">
        <v>281</v>
      </c>
      <c r="N139" s="240" t="s">
        <v>282</v>
      </c>
    </row>
    <row r="140" spans="5:14">
      <c r="E140" s="243">
        <f>SUM(E97:E136)</f>
        <v>61793.408419999978</v>
      </c>
      <c r="F140" s="243">
        <f t="shared" ref="F140" si="89">SUM(F97:F136)</f>
        <v>5773.8344399999987</v>
      </c>
      <c r="G140" s="243">
        <f t="shared" ref="G140" si="90">SUM(G97:G136)</f>
        <v>4019.7996500000013</v>
      </c>
      <c r="H140" s="243">
        <f t="shared" ref="H140" si="91">SUM(H97:H136)</f>
        <v>2182.5828300000003</v>
      </c>
      <c r="I140" s="243">
        <f t="shared" ref="I140" si="92">SUM(I97:I136)</f>
        <v>363.42163000000005</v>
      </c>
      <c r="J140" s="243">
        <f t="shared" ref="J140" si="93">SUM(J97:J136)</f>
        <v>238.34529999999995</v>
      </c>
      <c r="K140" s="243">
        <f t="shared" ref="K140" si="94">SUM(K97:K136)</f>
        <v>142.28225</v>
      </c>
      <c r="L140" s="243">
        <f>SUM(L97:L136)</f>
        <v>74.278430000000014</v>
      </c>
      <c r="M140" s="243">
        <f>SUM(E140:L140)</f>
        <v>74587.952949999977</v>
      </c>
      <c r="N140" s="243">
        <f>SUM(N97:N136)</f>
        <v>1887348</v>
      </c>
    </row>
    <row r="141" spans="5:14">
      <c r="E141" s="233">
        <f>+E140/N140</f>
        <v>3.2740866241943709E-2</v>
      </c>
      <c r="I141" s="233">
        <f>+I140/N140</f>
        <v>1.9255676748538162E-4</v>
      </c>
      <c r="M141" s="233">
        <f>+M140/N140</f>
        <v>3.9519978800941838E-2</v>
      </c>
      <c r="N141" s="14">
        <f>1-M141</f>
        <v>0.96048002119905818</v>
      </c>
    </row>
    <row r="142" spans="5:14">
      <c r="E142" s="233"/>
      <c r="I142" s="233"/>
      <c r="M142" s="233"/>
      <c r="N142" s="14"/>
    </row>
    <row r="143" spans="5:14">
      <c r="E143" s="406" t="s">
        <v>284</v>
      </c>
      <c r="F143" s="407"/>
      <c r="G143" s="407"/>
      <c r="H143" s="407"/>
      <c r="I143" s="407"/>
      <c r="J143" s="407"/>
      <c r="K143" s="407"/>
      <c r="L143" s="407"/>
      <c r="M143" s="407"/>
      <c r="N143" s="408"/>
    </row>
    <row r="144" spans="5:14" ht="40.5">
      <c r="E144" s="240" t="s">
        <v>143</v>
      </c>
      <c r="F144" s="240" t="s">
        <v>279</v>
      </c>
      <c r="G144" s="240" t="s">
        <v>280</v>
      </c>
      <c r="H144" s="240" t="s">
        <v>278</v>
      </c>
      <c r="I144" s="240" t="s">
        <v>124</v>
      </c>
      <c r="J144" s="240" t="s">
        <v>272</v>
      </c>
      <c r="K144" s="240" t="s">
        <v>277</v>
      </c>
      <c r="L144" s="240" t="s">
        <v>276</v>
      </c>
      <c r="M144" s="240" t="s">
        <v>281</v>
      </c>
      <c r="N144" s="240" t="s">
        <v>282</v>
      </c>
    </row>
    <row r="145" spans="5:14">
      <c r="E145" s="4">
        <v>70934</v>
      </c>
      <c r="F145" s="4"/>
      <c r="G145" s="4"/>
      <c r="H145" s="4"/>
      <c r="I145" s="4">
        <v>11960</v>
      </c>
      <c r="J145" s="4">
        <v>447</v>
      </c>
      <c r="K145" s="4"/>
      <c r="L145" s="4"/>
      <c r="M145" s="4"/>
      <c r="N145" s="243">
        <v>2033773</v>
      </c>
    </row>
    <row r="146" spans="5:14">
      <c r="E146" s="233">
        <f>+E145/N145</f>
        <v>3.4878032110761625E-2</v>
      </c>
      <c r="I146" s="233">
        <f>+I145/N145</f>
        <v>5.8806956331901349E-3</v>
      </c>
      <c r="J146" s="233">
        <f>+J145/N145</f>
        <v>2.197885408056848E-4</v>
      </c>
      <c r="M146" s="14">
        <f>SUM(E146:L146)</f>
        <v>4.0978516284757446E-2</v>
      </c>
      <c r="N146" s="14">
        <f>1-M146</f>
        <v>0.95902148371524254</v>
      </c>
    </row>
    <row r="148" spans="5:14">
      <c r="L148" s="3" t="s">
        <v>285</v>
      </c>
      <c r="M148" s="244">
        <f>(M146+M141)/2</f>
        <v>4.0249247542849642E-2</v>
      </c>
    </row>
  </sheetData>
  <mergeCells count="2">
    <mergeCell ref="E138:N138"/>
    <mergeCell ref="E143:N143"/>
  </mergeCells>
  <hyperlinks>
    <hyperlink ref="E138:N138" r:id="rId1" display="Tíðarskeiðið frá 10-10-2004 til 7-12-2004"/>
    <hyperlink ref="E143:N143" r:id="rId2" display="Tíðarskeiðið frá 24-5-2005  til 5-6-2005"/>
  </hyperlinks>
  <pageMargins left="0.7" right="0.7" top="0.75" bottom="0.75" header="0.3" footer="0.3"/>
  <pageSetup paperSize="9" orientation="portrait" r:id="rId3"/>
  <ignoredErrors>
    <ignoredError sqref="M140" formula="1"/>
  </ignoredErrors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7"/>
  <sheetViews>
    <sheetView workbookViewId="0">
      <selection activeCell="L6" sqref="L6"/>
    </sheetView>
  </sheetViews>
  <sheetFormatPr defaultRowHeight="15.5"/>
  <cols>
    <col min="5" max="5" width="9" style="14"/>
    <col min="11" max="11" width="9" style="14"/>
  </cols>
  <sheetData>
    <row r="1" spans="1:11">
      <c r="B1" t="s">
        <v>37</v>
      </c>
      <c r="C1" t="s">
        <v>12</v>
      </c>
      <c r="D1" t="s">
        <v>27</v>
      </c>
      <c r="E1" s="14" t="s">
        <v>7</v>
      </c>
      <c r="I1" t="s">
        <v>37</v>
      </c>
      <c r="J1" t="s">
        <v>27</v>
      </c>
      <c r="K1" s="14" t="s">
        <v>7</v>
      </c>
    </row>
    <row r="2" spans="1:11">
      <c r="A2">
        <v>0</v>
      </c>
      <c r="B2" s="13">
        <v>0.17499999999999999</v>
      </c>
      <c r="C2" s="13">
        <v>0.155</v>
      </c>
      <c r="D2" s="13">
        <v>0.11</v>
      </c>
      <c r="E2" s="14">
        <v>2.5000000000000001E-2</v>
      </c>
      <c r="H2">
        <v>0</v>
      </c>
      <c r="I2" s="13">
        <v>0</v>
      </c>
      <c r="J2" s="13">
        <v>0</v>
      </c>
      <c r="K2" s="14">
        <v>4.7500000000000001E-2</v>
      </c>
    </row>
    <row r="3" spans="1:11">
      <c r="A3">
        <v>0.1</v>
      </c>
      <c r="B3" s="13">
        <v>0.17499999999999999</v>
      </c>
      <c r="C3" s="13">
        <v>0.155</v>
      </c>
      <c r="D3" s="13">
        <v>0.11</v>
      </c>
      <c r="E3" s="14">
        <f>+E2</f>
        <v>2.5000000000000001E-2</v>
      </c>
      <c r="H3">
        <v>0.1</v>
      </c>
      <c r="I3" s="13">
        <v>0</v>
      </c>
      <c r="J3" s="13">
        <f>+J2</f>
        <v>0</v>
      </c>
      <c r="K3" s="14">
        <f>+K2</f>
        <v>4.7500000000000001E-2</v>
      </c>
    </row>
    <row r="4" spans="1:11">
      <c r="A4">
        <v>0.2</v>
      </c>
      <c r="B4" s="13">
        <v>0.17499999999999999</v>
      </c>
      <c r="C4" s="13">
        <v>0.155</v>
      </c>
      <c r="D4" s="13">
        <v>0.11</v>
      </c>
      <c r="E4" s="14">
        <f t="shared" ref="E4:E67" si="0">+E3</f>
        <v>2.5000000000000001E-2</v>
      </c>
      <c r="H4">
        <v>0.2</v>
      </c>
      <c r="I4" s="13">
        <v>0</v>
      </c>
      <c r="J4" s="13">
        <f t="shared" ref="J4:J67" si="1">+J3</f>
        <v>0</v>
      </c>
      <c r="K4" s="14">
        <f t="shared" ref="K4:K67" si="2">+K3</f>
        <v>4.7500000000000001E-2</v>
      </c>
    </row>
    <row r="5" spans="1:11">
      <c r="A5">
        <v>0.30000000000000004</v>
      </c>
      <c r="B5" s="13">
        <v>0.17499999999999999</v>
      </c>
      <c r="C5" s="13">
        <v>0.155</v>
      </c>
      <c r="D5" s="13">
        <v>0.11</v>
      </c>
      <c r="E5" s="14">
        <f t="shared" si="0"/>
        <v>2.5000000000000001E-2</v>
      </c>
      <c r="H5">
        <v>0.30000000000000004</v>
      </c>
      <c r="I5" s="13">
        <v>0</v>
      </c>
      <c r="J5" s="13">
        <f t="shared" si="1"/>
        <v>0</v>
      </c>
      <c r="K5" s="14">
        <f t="shared" si="2"/>
        <v>4.7500000000000001E-2</v>
      </c>
    </row>
    <row r="6" spans="1:11">
      <c r="A6">
        <v>0.4</v>
      </c>
      <c r="B6" s="13">
        <v>0.17499999999999999</v>
      </c>
      <c r="C6" s="13">
        <v>0.155</v>
      </c>
      <c r="D6" s="13">
        <v>0.11</v>
      </c>
      <c r="E6" s="14">
        <f t="shared" si="0"/>
        <v>2.5000000000000001E-2</v>
      </c>
      <c r="H6">
        <v>0.4</v>
      </c>
      <c r="I6" s="13">
        <v>0</v>
      </c>
      <c r="J6" s="13">
        <f t="shared" si="1"/>
        <v>0</v>
      </c>
      <c r="K6" s="14">
        <f t="shared" si="2"/>
        <v>4.7500000000000001E-2</v>
      </c>
    </row>
    <row r="7" spans="1:11">
      <c r="A7">
        <v>0.5</v>
      </c>
      <c r="B7" s="13">
        <v>0.17499999999999999</v>
      </c>
      <c r="C7" s="13">
        <v>0.155</v>
      </c>
      <c r="D7" s="13">
        <v>0.11</v>
      </c>
      <c r="E7" s="14">
        <f t="shared" si="0"/>
        <v>2.5000000000000001E-2</v>
      </c>
      <c r="H7">
        <v>0.5</v>
      </c>
      <c r="I7" s="13">
        <v>0</v>
      </c>
      <c r="J7" s="13">
        <f t="shared" si="1"/>
        <v>0</v>
      </c>
      <c r="K7" s="14">
        <f t="shared" si="2"/>
        <v>4.7500000000000001E-2</v>
      </c>
    </row>
    <row r="8" spans="1:11">
      <c r="A8">
        <v>0.6</v>
      </c>
      <c r="B8" s="13">
        <v>0.17499999999999999</v>
      </c>
      <c r="C8" s="13">
        <v>0.155</v>
      </c>
      <c r="D8" s="13">
        <v>0.11</v>
      </c>
      <c r="E8" s="14">
        <f t="shared" si="0"/>
        <v>2.5000000000000001E-2</v>
      </c>
      <c r="H8">
        <v>0.6</v>
      </c>
      <c r="I8" s="13">
        <v>0</v>
      </c>
      <c r="J8" s="13">
        <f t="shared" si="1"/>
        <v>0</v>
      </c>
      <c r="K8" s="14">
        <f t="shared" si="2"/>
        <v>4.7500000000000001E-2</v>
      </c>
    </row>
    <row r="9" spans="1:11">
      <c r="A9">
        <v>0.7</v>
      </c>
      <c r="B9" s="13">
        <v>0.17499999999999999</v>
      </c>
      <c r="C9" s="13">
        <v>0.155</v>
      </c>
      <c r="D9" s="13">
        <v>0.11</v>
      </c>
      <c r="E9" s="14">
        <f t="shared" si="0"/>
        <v>2.5000000000000001E-2</v>
      </c>
      <c r="H9">
        <v>0.7</v>
      </c>
      <c r="I9" s="13">
        <v>0</v>
      </c>
      <c r="J9" s="13">
        <f t="shared" si="1"/>
        <v>0</v>
      </c>
      <c r="K9" s="14">
        <f t="shared" si="2"/>
        <v>4.7500000000000001E-2</v>
      </c>
    </row>
    <row r="10" spans="1:11">
      <c r="A10">
        <v>0.79999999999999993</v>
      </c>
      <c r="B10" s="13">
        <v>0.17499999999999999</v>
      </c>
      <c r="C10" s="13">
        <v>0.155</v>
      </c>
      <c r="D10" s="13">
        <v>0.11</v>
      </c>
      <c r="E10" s="14">
        <f t="shared" si="0"/>
        <v>2.5000000000000001E-2</v>
      </c>
      <c r="H10">
        <v>0.79999999999999993</v>
      </c>
      <c r="I10" s="13">
        <v>0</v>
      </c>
      <c r="J10" s="13">
        <f t="shared" si="1"/>
        <v>0</v>
      </c>
      <c r="K10" s="14">
        <f t="shared" si="2"/>
        <v>4.7500000000000001E-2</v>
      </c>
    </row>
    <row r="11" spans="1:11">
      <c r="A11">
        <v>0.89999999999999991</v>
      </c>
      <c r="B11" s="13">
        <v>0.17499999999999999</v>
      </c>
      <c r="C11" s="13">
        <v>0.155</v>
      </c>
      <c r="D11" s="13">
        <v>0.11</v>
      </c>
      <c r="E11" s="14">
        <f t="shared" si="0"/>
        <v>2.5000000000000001E-2</v>
      </c>
      <c r="H11">
        <v>0.89999999999999991</v>
      </c>
      <c r="I11" s="13">
        <v>0</v>
      </c>
      <c r="J11" s="13">
        <f t="shared" si="1"/>
        <v>0</v>
      </c>
      <c r="K11" s="14">
        <f t="shared" si="2"/>
        <v>4.7500000000000001E-2</v>
      </c>
    </row>
    <row r="12" spans="1:11">
      <c r="A12">
        <v>0.99999999999999989</v>
      </c>
      <c r="B12" s="13">
        <v>0.17499999999999999</v>
      </c>
      <c r="C12" s="13">
        <v>0.155</v>
      </c>
      <c r="D12" s="13">
        <v>0.11</v>
      </c>
      <c r="E12" s="14">
        <f t="shared" si="0"/>
        <v>2.5000000000000001E-2</v>
      </c>
      <c r="H12">
        <v>0.99999999999999989</v>
      </c>
      <c r="I12" s="13">
        <v>0</v>
      </c>
      <c r="J12" s="13">
        <v>7.0000000000000007E-2</v>
      </c>
      <c r="K12" s="14">
        <f t="shared" si="2"/>
        <v>4.7500000000000001E-2</v>
      </c>
    </row>
    <row r="13" spans="1:11">
      <c r="A13">
        <v>1.0999999999999999</v>
      </c>
      <c r="B13" s="13">
        <v>0.17499999999999999</v>
      </c>
      <c r="C13" s="13">
        <v>0.155</v>
      </c>
      <c r="D13" s="13">
        <v>0.11</v>
      </c>
      <c r="E13" s="14">
        <f t="shared" si="0"/>
        <v>2.5000000000000001E-2</v>
      </c>
      <c r="H13">
        <v>1.0999999999999999</v>
      </c>
      <c r="I13" s="13">
        <v>0</v>
      </c>
      <c r="J13" s="13">
        <f t="shared" si="1"/>
        <v>7.0000000000000007E-2</v>
      </c>
      <c r="K13" s="14">
        <f t="shared" si="2"/>
        <v>4.7500000000000001E-2</v>
      </c>
    </row>
    <row r="14" spans="1:11">
      <c r="A14">
        <v>1.2</v>
      </c>
      <c r="B14" s="13">
        <v>0.17499999999999999</v>
      </c>
      <c r="C14" s="13">
        <v>0.155</v>
      </c>
      <c r="D14" s="13">
        <v>0.11</v>
      </c>
      <c r="E14" s="14">
        <f t="shared" si="0"/>
        <v>2.5000000000000001E-2</v>
      </c>
      <c r="H14">
        <v>1.2</v>
      </c>
      <c r="I14" s="13">
        <v>0</v>
      </c>
      <c r="J14" s="13">
        <v>0.12</v>
      </c>
      <c r="K14" s="14">
        <f t="shared" si="2"/>
        <v>4.7500000000000001E-2</v>
      </c>
    </row>
    <row r="15" spans="1:11">
      <c r="A15">
        <v>1.3</v>
      </c>
      <c r="B15" s="13">
        <v>0.17499999999999999</v>
      </c>
      <c r="C15" s="13">
        <v>0.155</v>
      </c>
      <c r="D15" s="13">
        <v>0.12</v>
      </c>
      <c r="E15" s="14">
        <f t="shared" si="0"/>
        <v>2.5000000000000001E-2</v>
      </c>
      <c r="H15">
        <v>1.3</v>
      </c>
      <c r="I15" s="13">
        <v>0</v>
      </c>
      <c r="J15" s="13">
        <f t="shared" si="1"/>
        <v>0.12</v>
      </c>
      <c r="K15" s="14">
        <f t="shared" si="2"/>
        <v>4.7500000000000001E-2</v>
      </c>
    </row>
    <row r="16" spans="1:11">
      <c r="A16">
        <v>1.4</v>
      </c>
      <c r="B16" s="13">
        <v>0.17499999999999999</v>
      </c>
      <c r="C16" s="13">
        <v>0.155</v>
      </c>
      <c r="D16" s="13">
        <v>0.12</v>
      </c>
      <c r="E16" s="14">
        <f t="shared" si="0"/>
        <v>2.5000000000000001E-2</v>
      </c>
      <c r="H16">
        <v>1.4</v>
      </c>
      <c r="I16" s="13">
        <v>0</v>
      </c>
      <c r="J16" s="13">
        <v>0.16</v>
      </c>
      <c r="K16" s="14">
        <f t="shared" si="2"/>
        <v>4.7500000000000001E-2</v>
      </c>
    </row>
    <row r="17" spans="1:11">
      <c r="A17">
        <v>1.5</v>
      </c>
      <c r="B17" s="13">
        <v>0.17499999999999999</v>
      </c>
      <c r="C17" s="13">
        <v>0.155</v>
      </c>
      <c r="D17" s="13">
        <v>0.13</v>
      </c>
      <c r="E17" s="14">
        <f t="shared" si="0"/>
        <v>2.5000000000000001E-2</v>
      </c>
      <c r="H17">
        <v>1.5</v>
      </c>
      <c r="I17" s="13">
        <v>0</v>
      </c>
      <c r="J17" s="13">
        <f t="shared" si="1"/>
        <v>0.16</v>
      </c>
      <c r="K17" s="14">
        <f t="shared" si="2"/>
        <v>4.7500000000000001E-2</v>
      </c>
    </row>
    <row r="18" spans="1:11">
      <c r="A18">
        <v>1.6</v>
      </c>
      <c r="B18" s="13">
        <v>0.17499999999999999</v>
      </c>
      <c r="C18" s="13">
        <v>0.155</v>
      </c>
      <c r="D18" s="13">
        <v>0.13</v>
      </c>
      <c r="E18" s="14">
        <f t="shared" si="0"/>
        <v>2.5000000000000001E-2</v>
      </c>
      <c r="H18">
        <v>1.6</v>
      </c>
      <c r="I18" s="13">
        <v>0</v>
      </c>
      <c r="J18" s="13">
        <v>0.17</v>
      </c>
      <c r="K18" s="14">
        <f t="shared" si="2"/>
        <v>4.7500000000000001E-2</v>
      </c>
    </row>
    <row r="19" spans="1:11">
      <c r="A19">
        <v>1.7</v>
      </c>
      <c r="B19" s="13">
        <v>0.17499999999999999</v>
      </c>
      <c r="C19" s="13">
        <v>0.155</v>
      </c>
      <c r="D19" s="13">
        <v>0.14000000000000001</v>
      </c>
      <c r="E19" s="14">
        <f t="shared" si="0"/>
        <v>2.5000000000000001E-2</v>
      </c>
      <c r="H19">
        <v>1.7</v>
      </c>
      <c r="I19" s="13">
        <v>0</v>
      </c>
      <c r="J19" s="13">
        <f t="shared" si="1"/>
        <v>0.17</v>
      </c>
      <c r="K19" s="14">
        <f t="shared" si="2"/>
        <v>4.7500000000000001E-2</v>
      </c>
    </row>
    <row r="20" spans="1:11">
      <c r="A20">
        <v>1.8</v>
      </c>
      <c r="B20" s="13">
        <v>0.17499999999999999</v>
      </c>
      <c r="C20" s="13">
        <v>0.155</v>
      </c>
      <c r="D20" s="13">
        <v>0.14000000000000001</v>
      </c>
      <c r="E20" s="14">
        <f t="shared" si="0"/>
        <v>2.5000000000000001E-2</v>
      </c>
      <c r="H20">
        <v>1.8</v>
      </c>
      <c r="I20" s="13">
        <v>0</v>
      </c>
      <c r="J20" s="13">
        <v>0.18</v>
      </c>
      <c r="K20" s="14">
        <f t="shared" si="2"/>
        <v>4.7500000000000001E-2</v>
      </c>
    </row>
    <row r="21" spans="1:11">
      <c r="A21">
        <v>1.9</v>
      </c>
      <c r="B21" s="13">
        <v>0.17499999999999999</v>
      </c>
      <c r="C21" s="13">
        <v>0.155</v>
      </c>
      <c r="D21" s="13">
        <v>0.15</v>
      </c>
      <c r="E21" s="14">
        <f t="shared" si="0"/>
        <v>2.5000000000000001E-2</v>
      </c>
      <c r="H21">
        <v>1.9</v>
      </c>
      <c r="I21" s="13">
        <v>0</v>
      </c>
      <c r="J21" s="13">
        <f t="shared" si="1"/>
        <v>0.18</v>
      </c>
      <c r="K21" s="14">
        <f t="shared" si="2"/>
        <v>4.7500000000000001E-2</v>
      </c>
    </row>
    <row r="22" spans="1:11">
      <c r="A22">
        <v>2</v>
      </c>
      <c r="B22" s="13">
        <v>0.17499999999999999</v>
      </c>
      <c r="C22" s="13">
        <v>0.155</v>
      </c>
      <c r="D22" s="13">
        <v>0.15</v>
      </c>
      <c r="E22" s="14">
        <f t="shared" si="0"/>
        <v>2.5000000000000001E-2</v>
      </c>
      <c r="H22">
        <v>2</v>
      </c>
      <c r="I22" s="13">
        <v>0.1</v>
      </c>
      <c r="J22" s="13">
        <v>0.19</v>
      </c>
      <c r="K22" s="14">
        <f t="shared" si="2"/>
        <v>4.7500000000000001E-2</v>
      </c>
    </row>
    <row r="23" spans="1:11">
      <c r="A23">
        <v>2.1</v>
      </c>
      <c r="B23" s="13">
        <v>0.17499999999999999</v>
      </c>
      <c r="C23" s="13">
        <v>0.155</v>
      </c>
      <c r="D23" s="13">
        <v>0.16</v>
      </c>
      <c r="E23" s="14">
        <f t="shared" si="0"/>
        <v>2.5000000000000001E-2</v>
      </c>
      <c r="H23">
        <v>2.1</v>
      </c>
      <c r="I23" s="13">
        <f t="shared" ref="I23:I88" si="3">+I22</f>
        <v>0.1</v>
      </c>
      <c r="J23" s="13">
        <f t="shared" si="1"/>
        <v>0.19</v>
      </c>
      <c r="K23" s="14">
        <f t="shared" si="2"/>
        <v>4.7500000000000001E-2</v>
      </c>
    </row>
    <row r="24" spans="1:11">
      <c r="A24">
        <v>2.2000000000000002</v>
      </c>
      <c r="B24" s="13">
        <v>0.17499999999999999</v>
      </c>
      <c r="C24" s="13">
        <v>0.155</v>
      </c>
      <c r="D24" s="13">
        <v>0.16</v>
      </c>
      <c r="E24" s="14">
        <f t="shared" si="0"/>
        <v>2.5000000000000001E-2</v>
      </c>
      <c r="H24">
        <v>2.2000000000000002</v>
      </c>
      <c r="I24" s="13">
        <f t="shared" si="3"/>
        <v>0.1</v>
      </c>
      <c r="J24" s="13">
        <v>0.2</v>
      </c>
      <c r="K24" s="14">
        <f t="shared" si="2"/>
        <v>4.7500000000000001E-2</v>
      </c>
    </row>
    <row r="25" spans="1:11">
      <c r="A25">
        <v>2.2999999999999998</v>
      </c>
      <c r="B25" s="13">
        <v>0.17499999999999999</v>
      </c>
      <c r="C25" s="13">
        <v>0.155</v>
      </c>
      <c r="D25" s="13">
        <v>0.17</v>
      </c>
      <c r="E25" s="14">
        <f t="shared" si="0"/>
        <v>2.5000000000000001E-2</v>
      </c>
      <c r="H25">
        <v>2.2999999999999998</v>
      </c>
      <c r="I25" s="13">
        <f t="shared" si="3"/>
        <v>0.1</v>
      </c>
      <c r="J25" s="13">
        <f t="shared" si="1"/>
        <v>0.2</v>
      </c>
      <c r="K25" s="14">
        <f t="shared" si="2"/>
        <v>4.7500000000000001E-2</v>
      </c>
    </row>
    <row r="26" spans="1:11">
      <c r="A26">
        <v>2.4</v>
      </c>
      <c r="B26" s="13">
        <v>0.17499999999999999</v>
      </c>
      <c r="C26" s="13">
        <v>0.155</v>
      </c>
      <c r="D26" s="13">
        <v>0.17</v>
      </c>
      <c r="E26" s="14">
        <f t="shared" si="0"/>
        <v>2.5000000000000001E-2</v>
      </c>
      <c r="H26">
        <v>2.4</v>
      </c>
      <c r="I26" s="13">
        <f t="shared" si="3"/>
        <v>0.1</v>
      </c>
      <c r="J26" s="13">
        <v>0.21</v>
      </c>
      <c r="K26" s="14">
        <f t="shared" si="2"/>
        <v>4.7500000000000001E-2</v>
      </c>
    </row>
    <row r="27" spans="1:11">
      <c r="A27">
        <v>2.5</v>
      </c>
      <c r="B27" s="13">
        <v>0.17499999999999999</v>
      </c>
      <c r="C27" s="13">
        <v>0.16</v>
      </c>
      <c r="D27" s="13">
        <v>0.17</v>
      </c>
      <c r="E27" s="14">
        <f t="shared" si="0"/>
        <v>2.5000000000000001E-2</v>
      </c>
      <c r="H27">
        <v>2.5</v>
      </c>
      <c r="I27" s="13">
        <v>0.12</v>
      </c>
      <c r="J27" s="13">
        <f t="shared" si="1"/>
        <v>0.21</v>
      </c>
      <c r="K27" s="14">
        <f t="shared" si="2"/>
        <v>4.7500000000000001E-2</v>
      </c>
    </row>
    <row r="28" spans="1:11">
      <c r="A28">
        <v>2.6</v>
      </c>
      <c r="B28" s="13">
        <v>0.17499999999999999</v>
      </c>
      <c r="C28" s="13">
        <v>0.16</v>
      </c>
      <c r="D28" s="13">
        <v>0.17</v>
      </c>
      <c r="E28" s="14">
        <f t="shared" si="0"/>
        <v>2.5000000000000001E-2</v>
      </c>
      <c r="H28">
        <v>2.6</v>
      </c>
      <c r="I28" s="13">
        <f t="shared" si="3"/>
        <v>0.12</v>
      </c>
      <c r="J28" s="13">
        <v>0.22</v>
      </c>
      <c r="K28" s="14">
        <f t="shared" si="2"/>
        <v>4.7500000000000001E-2</v>
      </c>
    </row>
    <row r="29" spans="1:11">
      <c r="A29">
        <v>2.7</v>
      </c>
      <c r="B29" s="13">
        <v>0.17499999999999999</v>
      </c>
      <c r="C29" s="13">
        <v>0.16</v>
      </c>
      <c r="D29" s="13">
        <v>0.17</v>
      </c>
      <c r="E29" s="14">
        <f t="shared" si="0"/>
        <v>2.5000000000000001E-2</v>
      </c>
      <c r="H29">
        <v>2.7</v>
      </c>
      <c r="I29" s="13">
        <f t="shared" si="3"/>
        <v>0.12</v>
      </c>
      <c r="J29" s="13">
        <f t="shared" si="1"/>
        <v>0.22</v>
      </c>
      <c r="K29" s="14">
        <f t="shared" si="2"/>
        <v>4.7500000000000001E-2</v>
      </c>
    </row>
    <row r="30" spans="1:11">
      <c r="A30">
        <v>2.8</v>
      </c>
      <c r="B30" s="13">
        <v>0.17499999999999999</v>
      </c>
      <c r="C30" s="13">
        <v>0.16</v>
      </c>
      <c r="D30" s="13">
        <v>0.17</v>
      </c>
      <c r="E30" s="14">
        <f t="shared" si="0"/>
        <v>2.5000000000000001E-2</v>
      </c>
      <c r="H30">
        <v>2.8</v>
      </c>
      <c r="I30" s="13">
        <f t="shared" si="3"/>
        <v>0.12</v>
      </c>
      <c r="J30" s="13">
        <v>0.23</v>
      </c>
      <c r="K30" s="14">
        <f t="shared" si="2"/>
        <v>4.7500000000000001E-2</v>
      </c>
    </row>
    <row r="31" spans="1:11">
      <c r="A31">
        <v>2.9</v>
      </c>
      <c r="B31" s="13">
        <v>0.17499999999999999</v>
      </c>
      <c r="C31" s="13">
        <v>0.16</v>
      </c>
      <c r="D31" s="13">
        <v>0.17</v>
      </c>
      <c r="E31" s="14">
        <f t="shared" si="0"/>
        <v>2.5000000000000001E-2</v>
      </c>
      <c r="H31">
        <v>2.9</v>
      </c>
      <c r="I31" s="13">
        <f t="shared" si="3"/>
        <v>0.12</v>
      </c>
      <c r="J31" s="13">
        <f t="shared" si="1"/>
        <v>0.23</v>
      </c>
      <c r="K31" s="14">
        <f t="shared" si="2"/>
        <v>4.7500000000000001E-2</v>
      </c>
    </row>
    <row r="32" spans="1:11">
      <c r="A32">
        <v>3</v>
      </c>
      <c r="B32" s="13">
        <v>0.17499999999999999</v>
      </c>
      <c r="C32" s="13">
        <v>0.16500000000000001</v>
      </c>
      <c r="D32" s="13">
        <v>0.17</v>
      </c>
      <c r="E32" s="14">
        <f t="shared" si="0"/>
        <v>2.5000000000000001E-2</v>
      </c>
      <c r="H32">
        <v>3</v>
      </c>
      <c r="I32" s="13">
        <v>0.14000000000000001</v>
      </c>
      <c r="J32" s="13">
        <v>0.24</v>
      </c>
      <c r="K32" s="14">
        <f t="shared" si="2"/>
        <v>4.7500000000000001E-2</v>
      </c>
    </row>
    <row r="33" spans="1:11">
      <c r="A33">
        <v>3.1</v>
      </c>
      <c r="B33" s="13">
        <v>0.17499999999999999</v>
      </c>
      <c r="C33" s="13">
        <v>0.16500000000000001</v>
      </c>
      <c r="D33" s="13">
        <v>0.17</v>
      </c>
      <c r="E33" s="14">
        <f t="shared" si="0"/>
        <v>2.5000000000000001E-2</v>
      </c>
      <c r="H33">
        <v>3.1</v>
      </c>
      <c r="I33" s="13">
        <f t="shared" si="3"/>
        <v>0.14000000000000001</v>
      </c>
      <c r="J33" s="13">
        <f t="shared" si="1"/>
        <v>0.24</v>
      </c>
      <c r="K33" s="14">
        <f t="shared" si="2"/>
        <v>4.7500000000000001E-2</v>
      </c>
    </row>
    <row r="34" spans="1:11">
      <c r="A34">
        <v>3.2</v>
      </c>
      <c r="B34" s="13">
        <v>0.17499999999999999</v>
      </c>
      <c r="C34" s="13">
        <v>0.16500000000000001</v>
      </c>
      <c r="D34" s="13">
        <v>0.17</v>
      </c>
      <c r="E34" s="14">
        <f t="shared" si="0"/>
        <v>2.5000000000000001E-2</v>
      </c>
      <c r="H34">
        <v>3.2</v>
      </c>
      <c r="I34" s="13">
        <f t="shared" si="3"/>
        <v>0.14000000000000001</v>
      </c>
      <c r="J34" s="13">
        <v>0.25</v>
      </c>
      <c r="K34" s="14">
        <f t="shared" si="2"/>
        <v>4.7500000000000001E-2</v>
      </c>
    </row>
    <row r="35" spans="1:11">
      <c r="A35">
        <v>3.3</v>
      </c>
      <c r="B35" s="13">
        <v>0.17499999999999999</v>
      </c>
      <c r="C35" s="13">
        <v>0.16500000000000001</v>
      </c>
      <c r="D35" s="13">
        <v>0.17</v>
      </c>
      <c r="E35" s="14">
        <f t="shared" si="0"/>
        <v>2.5000000000000001E-2</v>
      </c>
      <c r="H35">
        <v>3.3</v>
      </c>
      <c r="I35" s="13">
        <f t="shared" si="3"/>
        <v>0.14000000000000001</v>
      </c>
      <c r="J35" s="13">
        <f t="shared" si="1"/>
        <v>0.25</v>
      </c>
      <c r="K35" s="14">
        <f t="shared" si="2"/>
        <v>4.7500000000000001E-2</v>
      </c>
    </row>
    <row r="36" spans="1:11">
      <c r="A36">
        <v>3.4</v>
      </c>
      <c r="B36" s="13">
        <v>0.17499999999999999</v>
      </c>
      <c r="C36" s="13">
        <v>0.16500000000000001</v>
      </c>
      <c r="D36" s="13">
        <v>0.17</v>
      </c>
      <c r="E36" s="14">
        <f t="shared" si="0"/>
        <v>2.5000000000000001E-2</v>
      </c>
      <c r="H36">
        <v>3.4</v>
      </c>
      <c r="I36" s="13">
        <f t="shared" si="3"/>
        <v>0.14000000000000001</v>
      </c>
      <c r="J36" s="13">
        <v>0.26</v>
      </c>
      <c r="K36" s="14">
        <f t="shared" si="2"/>
        <v>4.7500000000000001E-2</v>
      </c>
    </row>
    <row r="37" spans="1:11">
      <c r="A37">
        <v>3.5</v>
      </c>
      <c r="B37" s="13">
        <v>0.17499999999999999</v>
      </c>
      <c r="C37" s="13">
        <v>0.17</v>
      </c>
      <c r="D37" s="13">
        <v>0.17</v>
      </c>
      <c r="E37" s="14">
        <f t="shared" si="0"/>
        <v>2.5000000000000001E-2</v>
      </c>
      <c r="H37">
        <v>3.5</v>
      </c>
      <c r="I37" s="13">
        <v>0.16</v>
      </c>
      <c r="J37" s="13">
        <f t="shared" si="1"/>
        <v>0.26</v>
      </c>
      <c r="K37" s="14">
        <f t="shared" si="2"/>
        <v>4.7500000000000001E-2</v>
      </c>
    </row>
    <row r="38" spans="1:11">
      <c r="A38">
        <v>3.6</v>
      </c>
      <c r="B38" s="13">
        <v>0.17499999999999999</v>
      </c>
      <c r="C38" s="13">
        <v>0.17</v>
      </c>
      <c r="D38" s="13">
        <v>0.17</v>
      </c>
      <c r="E38" s="14">
        <f t="shared" si="0"/>
        <v>2.5000000000000001E-2</v>
      </c>
      <c r="H38">
        <v>3.6</v>
      </c>
      <c r="I38" s="13">
        <f t="shared" si="3"/>
        <v>0.16</v>
      </c>
      <c r="J38" s="13">
        <f t="shared" si="1"/>
        <v>0.26</v>
      </c>
      <c r="K38" s="14">
        <f t="shared" si="2"/>
        <v>4.7500000000000001E-2</v>
      </c>
    </row>
    <row r="39" spans="1:11">
      <c r="A39">
        <v>3.7</v>
      </c>
      <c r="B39" s="13">
        <v>0.17499999999999999</v>
      </c>
      <c r="C39" s="13">
        <v>0.17</v>
      </c>
      <c r="D39" s="13">
        <v>0.17</v>
      </c>
      <c r="E39" s="14">
        <f t="shared" si="0"/>
        <v>2.5000000000000001E-2</v>
      </c>
      <c r="H39">
        <v>3.7</v>
      </c>
      <c r="I39" s="13">
        <f t="shared" si="3"/>
        <v>0.16</v>
      </c>
      <c r="J39" s="13">
        <f t="shared" si="1"/>
        <v>0.26</v>
      </c>
      <c r="K39" s="14">
        <f t="shared" si="2"/>
        <v>4.7500000000000001E-2</v>
      </c>
    </row>
    <row r="40" spans="1:11">
      <c r="A40">
        <v>3.8</v>
      </c>
      <c r="B40" s="13">
        <v>0.17499999999999999</v>
      </c>
      <c r="C40" s="13">
        <v>0.17</v>
      </c>
      <c r="D40" s="13">
        <v>0.17</v>
      </c>
      <c r="E40" s="14">
        <f t="shared" si="0"/>
        <v>2.5000000000000001E-2</v>
      </c>
      <c r="H40">
        <v>3.8</v>
      </c>
      <c r="I40" s="13">
        <f t="shared" si="3"/>
        <v>0.16</v>
      </c>
      <c r="J40" s="13">
        <f t="shared" si="1"/>
        <v>0.26</v>
      </c>
      <c r="K40" s="14">
        <f t="shared" si="2"/>
        <v>4.7500000000000001E-2</v>
      </c>
    </row>
    <row r="41" spans="1:11">
      <c r="A41">
        <v>3.9</v>
      </c>
      <c r="B41" s="13">
        <v>0.17499999999999999</v>
      </c>
      <c r="C41" s="13">
        <v>0.17</v>
      </c>
      <c r="D41" s="13">
        <v>0.17</v>
      </c>
      <c r="E41" s="14">
        <f t="shared" si="0"/>
        <v>2.5000000000000001E-2</v>
      </c>
      <c r="H41">
        <v>3.9</v>
      </c>
      <c r="I41" s="13">
        <f t="shared" si="3"/>
        <v>0.16</v>
      </c>
      <c r="J41" s="13">
        <f t="shared" si="1"/>
        <v>0.26</v>
      </c>
      <c r="K41" s="14">
        <f t="shared" si="2"/>
        <v>4.7500000000000001E-2</v>
      </c>
    </row>
    <row r="42" spans="1:11">
      <c r="A42">
        <v>4</v>
      </c>
      <c r="B42" s="13">
        <v>0.17499999999999999</v>
      </c>
      <c r="C42" s="13">
        <v>0.17499999999999999</v>
      </c>
      <c r="D42" s="13">
        <v>0.17</v>
      </c>
      <c r="E42" s="14">
        <f t="shared" si="0"/>
        <v>2.5000000000000001E-2</v>
      </c>
      <c r="H42">
        <v>4</v>
      </c>
      <c r="I42" s="13">
        <v>0.18</v>
      </c>
      <c r="J42" s="13">
        <f t="shared" si="1"/>
        <v>0.26</v>
      </c>
      <c r="K42" s="14">
        <f t="shared" si="2"/>
        <v>4.7500000000000001E-2</v>
      </c>
    </row>
    <row r="43" spans="1:11">
      <c r="A43">
        <v>4.0999999999999996</v>
      </c>
      <c r="B43" s="13">
        <v>0.17499999999999999</v>
      </c>
      <c r="C43" s="13">
        <v>0.17499999999999999</v>
      </c>
      <c r="D43" s="13">
        <v>0.17</v>
      </c>
      <c r="E43" s="14">
        <f t="shared" si="0"/>
        <v>2.5000000000000001E-2</v>
      </c>
      <c r="H43">
        <v>4.0999999999999996</v>
      </c>
      <c r="I43" s="13">
        <f t="shared" si="3"/>
        <v>0.18</v>
      </c>
      <c r="J43" s="13">
        <f t="shared" si="1"/>
        <v>0.26</v>
      </c>
      <c r="K43" s="14">
        <f t="shared" si="2"/>
        <v>4.7500000000000001E-2</v>
      </c>
    </row>
    <row r="44" spans="1:11">
      <c r="A44">
        <v>4.2</v>
      </c>
      <c r="B44" s="13">
        <v>0.17499999999999999</v>
      </c>
      <c r="C44" s="13">
        <v>0.17499999999999999</v>
      </c>
      <c r="D44" s="13">
        <v>0.17</v>
      </c>
      <c r="E44" s="14">
        <f t="shared" si="0"/>
        <v>2.5000000000000001E-2</v>
      </c>
      <c r="H44">
        <v>4.2</v>
      </c>
      <c r="I44" s="13">
        <f t="shared" si="3"/>
        <v>0.18</v>
      </c>
      <c r="J44" s="13">
        <f t="shared" si="1"/>
        <v>0.26</v>
      </c>
      <c r="K44" s="14">
        <f t="shared" si="2"/>
        <v>4.7500000000000001E-2</v>
      </c>
    </row>
    <row r="45" spans="1:11">
      <c r="A45">
        <v>4.3</v>
      </c>
      <c r="B45" s="13">
        <v>0.17499999999999999</v>
      </c>
      <c r="C45" s="13">
        <v>0.17499999999999999</v>
      </c>
      <c r="D45" s="13">
        <v>0.17</v>
      </c>
      <c r="E45" s="14">
        <f t="shared" si="0"/>
        <v>2.5000000000000001E-2</v>
      </c>
      <c r="H45">
        <v>4.3</v>
      </c>
      <c r="I45" s="13">
        <f t="shared" si="3"/>
        <v>0.18</v>
      </c>
      <c r="J45" s="13">
        <f t="shared" si="1"/>
        <v>0.26</v>
      </c>
      <c r="K45" s="14">
        <f t="shared" si="2"/>
        <v>4.7500000000000001E-2</v>
      </c>
    </row>
    <row r="46" spans="1:11">
      <c r="A46">
        <v>4.4000000000000004</v>
      </c>
      <c r="B46" s="13">
        <v>0.17499999999999999</v>
      </c>
      <c r="C46" s="13">
        <v>0.17499999999999999</v>
      </c>
      <c r="D46" s="13">
        <v>0.17</v>
      </c>
      <c r="E46" s="14">
        <f t="shared" si="0"/>
        <v>2.5000000000000001E-2</v>
      </c>
      <c r="H46">
        <v>4.4000000000000004</v>
      </c>
      <c r="I46" s="13">
        <f t="shared" si="3"/>
        <v>0.18</v>
      </c>
      <c r="J46" s="13">
        <f t="shared" si="1"/>
        <v>0.26</v>
      </c>
      <c r="K46" s="14">
        <f t="shared" si="2"/>
        <v>4.7500000000000001E-2</v>
      </c>
    </row>
    <row r="47" spans="1:11">
      <c r="A47">
        <v>4.5</v>
      </c>
      <c r="B47" s="13">
        <v>0.17499999999999999</v>
      </c>
      <c r="C47" s="13">
        <v>0.18</v>
      </c>
      <c r="D47" s="13">
        <v>0.17</v>
      </c>
      <c r="E47" s="14">
        <f t="shared" si="0"/>
        <v>2.5000000000000001E-2</v>
      </c>
      <c r="H47">
        <v>4.5</v>
      </c>
      <c r="I47" s="13">
        <v>0.2</v>
      </c>
      <c r="J47" s="13">
        <f t="shared" si="1"/>
        <v>0.26</v>
      </c>
      <c r="K47" s="14">
        <f t="shared" si="2"/>
        <v>4.7500000000000001E-2</v>
      </c>
    </row>
    <row r="48" spans="1:11">
      <c r="A48">
        <v>4.5999999999999996</v>
      </c>
      <c r="B48" s="13">
        <v>0.17499999999999999</v>
      </c>
      <c r="C48" s="13">
        <v>0.18</v>
      </c>
      <c r="D48" s="13">
        <v>0.17</v>
      </c>
      <c r="E48" s="14">
        <f t="shared" si="0"/>
        <v>2.5000000000000001E-2</v>
      </c>
      <c r="H48">
        <v>4.5999999999999996</v>
      </c>
      <c r="I48" s="13">
        <f t="shared" si="3"/>
        <v>0.2</v>
      </c>
      <c r="J48" s="13">
        <f t="shared" si="1"/>
        <v>0.26</v>
      </c>
      <c r="K48" s="14">
        <f t="shared" si="2"/>
        <v>4.7500000000000001E-2</v>
      </c>
    </row>
    <row r="49" spans="1:11">
      <c r="A49">
        <v>4.7</v>
      </c>
      <c r="B49" s="13">
        <v>0.17499999999999999</v>
      </c>
      <c r="C49" s="13">
        <v>0.18</v>
      </c>
      <c r="D49" s="13">
        <v>0.17</v>
      </c>
      <c r="E49" s="14">
        <f t="shared" si="0"/>
        <v>2.5000000000000001E-2</v>
      </c>
      <c r="H49">
        <v>4.7</v>
      </c>
      <c r="I49" s="13">
        <f t="shared" si="3"/>
        <v>0.2</v>
      </c>
      <c r="J49" s="13">
        <f t="shared" si="1"/>
        <v>0.26</v>
      </c>
      <c r="K49" s="14">
        <f t="shared" si="2"/>
        <v>4.7500000000000001E-2</v>
      </c>
    </row>
    <row r="50" spans="1:11">
      <c r="A50">
        <v>4.8</v>
      </c>
      <c r="B50" s="13">
        <v>0.17499999999999999</v>
      </c>
      <c r="C50" s="13">
        <v>0.18</v>
      </c>
      <c r="D50" s="13">
        <v>0.17</v>
      </c>
      <c r="E50" s="14">
        <f t="shared" si="0"/>
        <v>2.5000000000000001E-2</v>
      </c>
      <c r="H50">
        <v>4.8</v>
      </c>
      <c r="I50" s="13">
        <f t="shared" si="3"/>
        <v>0.2</v>
      </c>
      <c r="J50" s="13">
        <f t="shared" si="1"/>
        <v>0.26</v>
      </c>
      <c r="K50" s="14">
        <f t="shared" si="2"/>
        <v>4.7500000000000001E-2</v>
      </c>
    </row>
    <row r="51" spans="1:11">
      <c r="A51">
        <v>4.9000000000000004</v>
      </c>
      <c r="B51" s="13">
        <v>0.17499999999999999</v>
      </c>
      <c r="C51" s="13">
        <v>0.18</v>
      </c>
      <c r="D51" s="13">
        <v>0.17</v>
      </c>
      <c r="E51" s="14">
        <f t="shared" si="0"/>
        <v>2.5000000000000001E-2</v>
      </c>
      <c r="H51">
        <v>4.9000000000000004</v>
      </c>
      <c r="I51" s="13">
        <f t="shared" si="3"/>
        <v>0.2</v>
      </c>
      <c r="J51" s="13">
        <f t="shared" si="1"/>
        <v>0.26</v>
      </c>
      <c r="K51" s="14">
        <f t="shared" si="2"/>
        <v>4.7500000000000001E-2</v>
      </c>
    </row>
    <row r="52" spans="1:11">
      <c r="A52">
        <v>5</v>
      </c>
      <c r="B52" s="13">
        <v>0.17499999999999999</v>
      </c>
      <c r="C52" s="13">
        <v>0.185</v>
      </c>
      <c r="D52" s="13">
        <v>0.17</v>
      </c>
      <c r="E52" s="14">
        <f t="shared" si="0"/>
        <v>2.5000000000000001E-2</v>
      </c>
      <c r="H52">
        <v>5</v>
      </c>
      <c r="I52" s="13">
        <v>0.21</v>
      </c>
      <c r="J52" s="13">
        <f t="shared" si="1"/>
        <v>0.26</v>
      </c>
      <c r="K52" s="14">
        <f t="shared" si="2"/>
        <v>4.7500000000000001E-2</v>
      </c>
    </row>
    <row r="53" spans="1:11">
      <c r="A53">
        <v>5.0999999999999996</v>
      </c>
      <c r="B53" s="13">
        <v>0.17499999999999999</v>
      </c>
      <c r="C53" s="13">
        <v>0.185</v>
      </c>
      <c r="D53" s="13">
        <v>0.17</v>
      </c>
      <c r="E53" s="14">
        <f t="shared" si="0"/>
        <v>2.5000000000000001E-2</v>
      </c>
      <c r="H53">
        <v>5.0999999999999996</v>
      </c>
      <c r="I53" s="13">
        <f t="shared" si="3"/>
        <v>0.21</v>
      </c>
      <c r="J53" s="13">
        <f t="shared" si="1"/>
        <v>0.26</v>
      </c>
      <c r="K53" s="14">
        <f t="shared" si="2"/>
        <v>4.7500000000000001E-2</v>
      </c>
    </row>
    <row r="54" spans="1:11">
      <c r="A54">
        <v>5.2</v>
      </c>
      <c r="B54" s="13">
        <v>0.17499999999999999</v>
      </c>
      <c r="C54" s="13">
        <v>0.185</v>
      </c>
      <c r="D54" s="13">
        <v>0.17</v>
      </c>
      <c r="E54" s="14">
        <f t="shared" si="0"/>
        <v>2.5000000000000001E-2</v>
      </c>
      <c r="H54">
        <v>5.2</v>
      </c>
      <c r="I54" s="13">
        <f t="shared" si="3"/>
        <v>0.21</v>
      </c>
      <c r="J54" s="13">
        <f t="shared" si="1"/>
        <v>0.26</v>
      </c>
      <c r="K54" s="14">
        <f t="shared" si="2"/>
        <v>4.7500000000000001E-2</v>
      </c>
    </row>
    <row r="55" spans="1:11">
      <c r="A55">
        <v>5.3</v>
      </c>
      <c r="B55" s="13">
        <v>0.17499999999999999</v>
      </c>
      <c r="C55" s="13">
        <v>0.185</v>
      </c>
      <c r="D55" s="13">
        <v>0.17</v>
      </c>
      <c r="E55" s="14">
        <f t="shared" si="0"/>
        <v>2.5000000000000001E-2</v>
      </c>
      <c r="H55">
        <v>5.3</v>
      </c>
      <c r="I55" s="13">
        <f t="shared" si="3"/>
        <v>0.21</v>
      </c>
      <c r="J55" s="13">
        <f t="shared" si="1"/>
        <v>0.26</v>
      </c>
      <c r="K55" s="14">
        <f t="shared" si="2"/>
        <v>4.7500000000000001E-2</v>
      </c>
    </row>
    <row r="56" spans="1:11">
      <c r="A56">
        <v>5.4</v>
      </c>
      <c r="B56" s="13">
        <v>0.17499999999999999</v>
      </c>
      <c r="C56" s="13">
        <v>0.185</v>
      </c>
      <c r="D56" s="13">
        <v>0.17</v>
      </c>
      <c r="E56" s="14">
        <f t="shared" si="0"/>
        <v>2.5000000000000001E-2</v>
      </c>
      <c r="H56">
        <v>5.4</v>
      </c>
      <c r="I56" s="13">
        <f t="shared" si="3"/>
        <v>0.21</v>
      </c>
      <c r="J56" s="13">
        <f t="shared" si="1"/>
        <v>0.26</v>
      </c>
      <c r="K56" s="14">
        <f t="shared" si="2"/>
        <v>4.7500000000000001E-2</v>
      </c>
    </row>
    <row r="57" spans="1:11">
      <c r="A57">
        <v>5.5</v>
      </c>
      <c r="B57" s="13">
        <v>0.17499999999999999</v>
      </c>
      <c r="C57" s="13">
        <v>0.19</v>
      </c>
      <c r="D57" s="13">
        <v>0.17</v>
      </c>
      <c r="E57" s="14">
        <f t="shared" si="0"/>
        <v>2.5000000000000001E-2</v>
      </c>
      <c r="H57">
        <v>5.5</v>
      </c>
      <c r="I57" s="13">
        <v>0.22</v>
      </c>
      <c r="J57" s="13">
        <f t="shared" si="1"/>
        <v>0.26</v>
      </c>
      <c r="K57" s="14">
        <f t="shared" si="2"/>
        <v>4.7500000000000001E-2</v>
      </c>
    </row>
    <row r="58" spans="1:11">
      <c r="A58">
        <v>5.6</v>
      </c>
      <c r="B58" s="13">
        <v>0.17499999999999999</v>
      </c>
      <c r="C58" s="13">
        <v>0.19</v>
      </c>
      <c r="D58" s="13">
        <v>0.17</v>
      </c>
      <c r="E58" s="14">
        <f t="shared" si="0"/>
        <v>2.5000000000000001E-2</v>
      </c>
      <c r="H58">
        <v>5.6</v>
      </c>
      <c r="I58" s="13">
        <f t="shared" si="3"/>
        <v>0.22</v>
      </c>
      <c r="J58" s="13">
        <f t="shared" si="1"/>
        <v>0.26</v>
      </c>
      <c r="K58" s="14">
        <f t="shared" si="2"/>
        <v>4.7500000000000001E-2</v>
      </c>
    </row>
    <row r="59" spans="1:11">
      <c r="A59">
        <v>5.7</v>
      </c>
      <c r="B59" s="13">
        <v>0.17499999999999999</v>
      </c>
      <c r="C59" s="13">
        <v>0.19</v>
      </c>
      <c r="D59" s="13">
        <v>0.17</v>
      </c>
      <c r="E59" s="14">
        <f t="shared" si="0"/>
        <v>2.5000000000000001E-2</v>
      </c>
      <c r="H59">
        <v>5.7</v>
      </c>
      <c r="I59" s="13">
        <f t="shared" si="3"/>
        <v>0.22</v>
      </c>
      <c r="J59" s="13">
        <f t="shared" si="1"/>
        <v>0.26</v>
      </c>
      <c r="K59" s="14">
        <f t="shared" si="2"/>
        <v>4.7500000000000001E-2</v>
      </c>
    </row>
    <row r="60" spans="1:11">
      <c r="A60">
        <v>5.8</v>
      </c>
      <c r="B60" s="13">
        <v>0.17499999999999999</v>
      </c>
      <c r="C60" s="13">
        <v>0.19</v>
      </c>
      <c r="D60" s="13">
        <v>0.17</v>
      </c>
      <c r="E60" s="14">
        <f t="shared" si="0"/>
        <v>2.5000000000000001E-2</v>
      </c>
      <c r="H60">
        <v>5.8</v>
      </c>
      <c r="I60" s="13">
        <f t="shared" si="3"/>
        <v>0.22</v>
      </c>
      <c r="J60" s="13">
        <f t="shared" si="1"/>
        <v>0.26</v>
      </c>
      <c r="K60" s="14">
        <f t="shared" si="2"/>
        <v>4.7500000000000001E-2</v>
      </c>
    </row>
    <row r="61" spans="1:11">
      <c r="A61">
        <v>5.9</v>
      </c>
      <c r="B61" s="13">
        <v>0.17499999999999999</v>
      </c>
      <c r="C61" s="13">
        <v>0.19</v>
      </c>
      <c r="D61" s="13">
        <v>0.17</v>
      </c>
      <c r="E61" s="14">
        <f t="shared" si="0"/>
        <v>2.5000000000000001E-2</v>
      </c>
      <c r="H61">
        <v>5.9</v>
      </c>
      <c r="I61" s="13">
        <f t="shared" si="3"/>
        <v>0.22</v>
      </c>
      <c r="J61" s="13">
        <f t="shared" si="1"/>
        <v>0.26</v>
      </c>
      <c r="K61" s="14">
        <f t="shared" si="2"/>
        <v>4.7500000000000001E-2</v>
      </c>
    </row>
    <row r="62" spans="1:11">
      <c r="A62">
        <v>6</v>
      </c>
      <c r="B62" s="13">
        <v>0.18</v>
      </c>
      <c r="C62" s="13">
        <v>0.19500000000000001</v>
      </c>
      <c r="D62" s="13">
        <v>0.17</v>
      </c>
      <c r="E62" s="14">
        <f t="shared" si="0"/>
        <v>2.5000000000000001E-2</v>
      </c>
      <c r="H62">
        <v>6</v>
      </c>
      <c r="I62" s="13">
        <v>0.23</v>
      </c>
      <c r="J62" s="13">
        <f t="shared" si="1"/>
        <v>0.26</v>
      </c>
      <c r="K62" s="14">
        <f t="shared" si="2"/>
        <v>4.7500000000000001E-2</v>
      </c>
    </row>
    <row r="63" spans="1:11">
      <c r="A63">
        <v>6.1</v>
      </c>
      <c r="B63" s="13">
        <v>0.18</v>
      </c>
      <c r="C63" s="13">
        <v>0.19500000000000001</v>
      </c>
      <c r="D63" s="13">
        <v>0.17</v>
      </c>
      <c r="E63" s="14">
        <f t="shared" si="0"/>
        <v>2.5000000000000001E-2</v>
      </c>
      <c r="H63">
        <v>6.1</v>
      </c>
      <c r="I63" s="13">
        <f t="shared" si="3"/>
        <v>0.23</v>
      </c>
      <c r="J63" s="13">
        <f t="shared" si="1"/>
        <v>0.26</v>
      </c>
      <c r="K63" s="14">
        <f t="shared" si="2"/>
        <v>4.7500000000000001E-2</v>
      </c>
    </row>
    <row r="64" spans="1:11">
      <c r="A64">
        <v>6.2</v>
      </c>
      <c r="B64" s="13">
        <v>0.18</v>
      </c>
      <c r="C64" s="13">
        <v>0.19500000000000001</v>
      </c>
      <c r="D64" s="13">
        <v>0.17</v>
      </c>
      <c r="E64" s="14">
        <f t="shared" si="0"/>
        <v>2.5000000000000001E-2</v>
      </c>
      <c r="H64">
        <v>6.2</v>
      </c>
      <c r="I64" s="13">
        <f t="shared" si="3"/>
        <v>0.23</v>
      </c>
      <c r="J64" s="13">
        <f t="shared" si="1"/>
        <v>0.26</v>
      </c>
      <c r="K64" s="14">
        <f t="shared" si="2"/>
        <v>4.7500000000000001E-2</v>
      </c>
    </row>
    <row r="65" spans="1:11">
      <c r="A65">
        <v>6.3</v>
      </c>
      <c r="B65" s="13">
        <v>0.18</v>
      </c>
      <c r="C65" s="13">
        <v>0.19500000000000001</v>
      </c>
      <c r="D65" s="13">
        <v>0.17</v>
      </c>
      <c r="E65" s="14">
        <f t="shared" si="0"/>
        <v>2.5000000000000001E-2</v>
      </c>
      <c r="H65">
        <v>6.3</v>
      </c>
      <c r="I65" s="13">
        <f t="shared" si="3"/>
        <v>0.23</v>
      </c>
      <c r="J65" s="13">
        <f t="shared" si="1"/>
        <v>0.26</v>
      </c>
      <c r="K65" s="14">
        <f t="shared" si="2"/>
        <v>4.7500000000000001E-2</v>
      </c>
    </row>
    <row r="66" spans="1:11">
      <c r="A66">
        <v>6.4</v>
      </c>
      <c r="B66" s="13">
        <v>0.18</v>
      </c>
      <c r="C66" s="13">
        <v>0.19500000000000001</v>
      </c>
      <c r="D66" s="13">
        <v>0.17</v>
      </c>
      <c r="E66" s="14">
        <f t="shared" si="0"/>
        <v>2.5000000000000001E-2</v>
      </c>
      <c r="H66">
        <v>6.4</v>
      </c>
      <c r="I66" s="13">
        <f t="shared" si="3"/>
        <v>0.23</v>
      </c>
      <c r="J66" s="13">
        <f t="shared" si="1"/>
        <v>0.26</v>
      </c>
      <c r="K66" s="14">
        <f t="shared" si="2"/>
        <v>4.7500000000000001E-2</v>
      </c>
    </row>
    <row r="67" spans="1:11">
      <c r="A67">
        <v>6.5</v>
      </c>
      <c r="B67" s="13">
        <v>0.185</v>
      </c>
      <c r="C67" s="13">
        <v>0.19500000000000001</v>
      </c>
      <c r="D67" s="13">
        <v>0.17</v>
      </c>
      <c r="E67" s="14">
        <f t="shared" si="0"/>
        <v>2.5000000000000001E-2</v>
      </c>
      <c r="H67">
        <v>6.5</v>
      </c>
      <c r="I67" s="13">
        <v>0.24</v>
      </c>
      <c r="J67" s="13">
        <f t="shared" si="1"/>
        <v>0.26</v>
      </c>
      <c r="K67" s="14">
        <f t="shared" si="2"/>
        <v>4.7500000000000001E-2</v>
      </c>
    </row>
    <row r="68" spans="1:11">
      <c r="A68">
        <v>6.6</v>
      </c>
      <c r="B68" s="13">
        <v>0.185</v>
      </c>
      <c r="C68" s="13">
        <v>0.19500000000000001</v>
      </c>
      <c r="D68" s="13">
        <v>0.17</v>
      </c>
      <c r="E68" s="14">
        <f t="shared" ref="E68:E131" si="4">+E67</f>
        <v>2.5000000000000001E-2</v>
      </c>
      <c r="H68">
        <v>6.6</v>
      </c>
      <c r="I68" s="13">
        <f t="shared" si="3"/>
        <v>0.24</v>
      </c>
      <c r="J68" s="13">
        <f t="shared" ref="J68:J128" si="5">+J67</f>
        <v>0.26</v>
      </c>
      <c r="K68" s="14">
        <f t="shared" ref="K68:K131" si="6">+K67</f>
        <v>4.7500000000000001E-2</v>
      </c>
    </row>
    <row r="69" spans="1:11">
      <c r="A69">
        <v>6.7</v>
      </c>
      <c r="B69" s="13">
        <v>0.185</v>
      </c>
      <c r="C69" s="13">
        <v>0.19500000000000001</v>
      </c>
      <c r="D69" s="13">
        <v>0.17</v>
      </c>
      <c r="E69" s="14">
        <f t="shared" si="4"/>
        <v>2.5000000000000001E-2</v>
      </c>
      <c r="H69">
        <v>6.7</v>
      </c>
      <c r="I69" s="13">
        <f t="shared" si="3"/>
        <v>0.24</v>
      </c>
      <c r="J69" s="13">
        <f t="shared" si="5"/>
        <v>0.26</v>
      </c>
      <c r="K69" s="14">
        <f t="shared" si="6"/>
        <v>4.7500000000000001E-2</v>
      </c>
    </row>
    <row r="70" spans="1:11">
      <c r="A70">
        <v>6.8</v>
      </c>
      <c r="B70" s="13">
        <v>0.185</v>
      </c>
      <c r="C70" s="13">
        <v>0.19500000000000001</v>
      </c>
      <c r="D70" s="13">
        <v>0.17</v>
      </c>
      <c r="E70" s="14">
        <f t="shared" si="4"/>
        <v>2.5000000000000001E-2</v>
      </c>
      <c r="H70">
        <v>6.8</v>
      </c>
      <c r="I70" s="13">
        <f t="shared" si="3"/>
        <v>0.24</v>
      </c>
      <c r="J70" s="13">
        <f t="shared" si="5"/>
        <v>0.26</v>
      </c>
      <c r="K70" s="14">
        <f t="shared" si="6"/>
        <v>4.7500000000000001E-2</v>
      </c>
    </row>
    <row r="71" spans="1:11">
      <c r="A71">
        <v>6.9</v>
      </c>
      <c r="B71" s="13">
        <v>0.185</v>
      </c>
      <c r="C71" s="13">
        <v>0.19500000000000001</v>
      </c>
      <c r="D71" s="13">
        <v>0.17</v>
      </c>
      <c r="E71" s="14">
        <f t="shared" si="4"/>
        <v>2.5000000000000001E-2</v>
      </c>
      <c r="H71">
        <v>6.9</v>
      </c>
      <c r="I71" s="13">
        <f t="shared" si="3"/>
        <v>0.24</v>
      </c>
      <c r="J71" s="13">
        <f t="shared" si="5"/>
        <v>0.26</v>
      </c>
      <c r="K71" s="14">
        <f t="shared" si="6"/>
        <v>4.7500000000000001E-2</v>
      </c>
    </row>
    <row r="72" spans="1:11">
      <c r="A72">
        <v>7</v>
      </c>
      <c r="B72" s="13">
        <v>0.19</v>
      </c>
      <c r="C72" s="13">
        <v>0.19500000000000001</v>
      </c>
      <c r="D72" s="13">
        <v>0.17</v>
      </c>
      <c r="E72" s="14">
        <f t="shared" si="4"/>
        <v>2.5000000000000001E-2</v>
      </c>
      <c r="H72">
        <v>7</v>
      </c>
      <c r="I72" s="13">
        <v>0.25</v>
      </c>
      <c r="J72" s="13">
        <f t="shared" si="5"/>
        <v>0.26</v>
      </c>
      <c r="K72" s="14">
        <f t="shared" si="6"/>
        <v>4.7500000000000001E-2</v>
      </c>
    </row>
    <row r="73" spans="1:11">
      <c r="A73">
        <v>7.1</v>
      </c>
      <c r="B73" s="13">
        <v>0.19</v>
      </c>
      <c r="C73" s="13">
        <v>0.19500000000000001</v>
      </c>
      <c r="D73" s="13">
        <v>0.17</v>
      </c>
      <c r="E73" s="14">
        <f t="shared" si="4"/>
        <v>2.5000000000000001E-2</v>
      </c>
      <c r="H73">
        <v>7.1</v>
      </c>
      <c r="I73" s="13">
        <f t="shared" si="3"/>
        <v>0.25</v>
      </c>
      <c r="J73" s="13">
        <f t="shared" si="5"/>
        <v>0.26</v>
      </c>
      <c r="K73" s="14">
        <f t="shared" si="6"/>
        <v>4.7500000000000001E-2</v>
      </c>
    </row>
    <row r="74" spans="1:11">
      <c r="A74">
        <v>7.2</v>
      </c>
      <c r="B74" s="13">
        <v>0.19</v>
      </c>
      <c r="C74" s="13">
        <v>0.19500000000000001</v>
      </c>
      <c r="D74" s="13">
        <v>0.17</v>
      </c>
      <c r="E74" s="14">
        <f t="shared" si="4"/>
        <v>2.5000000000000001E-2</v>
      </c>
      <c r="H74">
        <v>7.2</v>
      </c>
      <c r="I74" s="13">
        <f t="shared" si="3"/>
        <v>0.25</v>
      </c>
      <c r="J74" s="13">
        <f t="shared" si="5"/>
        <v>0.26</v>
      </c>
      <c r="K74" s="14">
        <f t="shared" si="6"/>
        <v>4.7500000000000001E-2</v>
      </c>
    </row>
    <row r="75" spans="1:11">
      <c r="A75">
        <v>7.3</v>
      </c>
      <c r="B75" s="13">
        <v>0.19</v>
      </c>
      <c r="C75" s="13">
        <v>0.19500000000000001</v>
      </c>
      <c r="D75" s="13">
        <v>0.17</v>
      </c>
      <c r="E75" s="14">
        <f t="shared" si="4"/>
        <v>2.5000000000000001E-2</v>
      </c>
      <c r="H75">
        <v>7.3</v>
      </c>
      <c r="I75" s="13">
        <f t="shared" si="3"/>
        <v>0.25</v>
      </c>
      <c r="J75" s="13">
        <f t="shared" si="5"/>
        <v>0.26</v>
      </c>
      <c r="K75" s="14">
        <f t="shared" si="6"/>
        <v>4.7500000000000001E-2</v>
      </c>
    </row>
    <row r="76" spans="1:11">
      <c r="A76">
        <v>7.4</v>
      </c>
      <c r="B76" s="13">
        <v>0.19</v>
      </c>
      <c r="C76" s="13">
        <v>0.19500000000000001</v>
      </c>
      <c r="D76" s="13">
        <v>0.17</v>
      </c>
      <c r="E76" s="14">
        <f t="shared" si="4"/>
        <v>2.5000000000000001E-2</v>
      </c>
      <c r="H76">
        <v>7.4</v>
      </c>
      <c r="I76" s="13">
        <f t="shared" si="3"/>
        <v>0.25</v>
      </c>
      <c r="J76" s="13">
        <f t="shared" si="5"/>
        <v>0.26</v>
      </c>
      <c r="K76" s="14">
        <f t="shared" si="6"/>
        <v>4.7500000000000001E-2</v>
      </c>
    </row>
    <row r="77" spans="1:11">
      <c r="A77">
        <v>7.5</v>
      </c>
      <c r="B77" s="13">
        <v>0.19500000000000001</v>
      </c>
      <c r="C77" s="13">
        <v>0.19500000000000001</v>
      </c>
      <c r="D77" s="13">
        <v>0.17</v>
      </c>
      <c r="E77" s="14">
        <f t="shared" si="4"/>
        <v>2.5000000000000001E-2</v>
      </c>
      <c r="H77">
        <v>7.5</v>
      </c>
      <c r="I77" s="13">
        <v>0.26</v>
      </c>
      <c r="J77" s="13">
        <f t="shared" si="5"/>
        <v>0.26</v>
      </c>
      <c r="K77" s="14">
        <f t="shared" si="6"/>
        <v>4.7500000000000001E-2</v>
      </c>
    </row>
    <row r="78" spans="1:11">
      <c r="A78">
        <v>7.6</v>
      </c>
      <c r="B78" s="13">
        <v>0.19500000000000001</v>
      </c>
      <c r="C78" s="13">
        <v>0.19500000000000001</v>
      </c>
      <c r="D78" s="13">
        <v>0.17</v>
      </c>
      <c r="E78" s="14">
        <f t="shared" si="4"/>
        <v>2.5000000000000001E-2</v>
      </c>
      <c r="H78">
        <v>7.6</v>
      </c>
      <c r="I78" s="13">
        <f t="shared" si="3"/>
        <v>0.26</v>
      </c>
      <c r="J78" s="13">
        <f t="shared" si="5"/>
        <v>0.26</v>
      </c>
      <c r="K78" s="14">
        <f t="shared" si="6"/>
        <v>4.7500000000000001E-2</v>
      </c>
    </row>
    <row r="79" spans="1:11">
      <c r="A79">
        <v>7.7</v>
      </c>
      <c r="B79" s="13">
        <v>0.19500000000000001</v>
      </c>
      <c r="C79" s="13">
        <v>0.19500000000000001</v>
      </c>
      <c r="D79" s="13">
        <v>0.17</v>
      </c>
      <c r="E79" s="14">
        <f t="shared" si="4"/>
        <v>2.5000000000000001E-2</v>
      </c>
      <c r="H79">
        <v>7.7</v>
      </c>
      <c r="I79" s="13">
        <f t="shared" si="3"/>
        <v>0.26</v>
      </c>
      <c r="J79" s="13">
        <f t="shared" si="5"/>
        <v>0.26</v>
      </c>
      <c r="K79" s="14">
        <f t="shared" si="6"/>
        <v>4.7500000000000001E-2</v>
      </c>
    </row>
    <row r="80" spans="1:11">
      <c r="A80">
        <v>7.8</v>
      </c>
      <c r="B80" s="13">
        <v>0.19500000000000001</v>
      </c>
      <c r="C80" s="13">
        <v>0.19500000000000001</v>
      </c>
      <c r="D80" s="13">
        <v>0.17</v>
      </c>
      <c r="E80" s="14">
        <f t="shared" si="4"/>
        <v>2.5000000000000001E-2</v>
      </c>
      <c r="H80">
        <v>7.8</v>
      </c>
      <c r="I80" s="13">
        <f t="shared" si="3"/>
        <v>0.26</v>
      </c>
      <c r="J80" s="13">
        <f t="shared" si="5"/>
        <v>0.26</v>
      </c>
      <c r="K80" s="14">
        <f t="shared" si="6"/>
        <v>4.7500000000000001E-2</v>
      </c>
    </row>
    <row r="81" spans="1:11">
      <c r="A81">
        <v>7.9</v>
      </c>
      <c r="B81" s="13">
        <v>0.19500000000000001</v>
      </c>
      <c r="C81" s="13">
        <v>0.19500000000000001</v>
      </c>
      <c r="D81" s="13">
        <v>0.17</v>
      </c>
      <c r="E81" s="14">
        <f t="shared" si="4"/>
        <v>2.5000000000000001E-2</v>
      </c>
      <c r="H81">
        <v>7.9</v>
      </c>
      <c r="I81" s="13">
        <f t="shared" si="3"/>
        <v>0.26</v>
      </c>
      <c r="J81" s="13">
        <f t="shared" si="5"/>
        <v>0.26</v>
      </c>
      <c r="K81" s="14">
        <f t="shared" si="6"/>
        <v>4.7500000000000001E-2</v>
      </c>
    </row>
    <row r="82" spans="1:11">
      <c r="A82">
        <v>8</v>
      </c>
      <c r="B82" s="13">
        <v>0.2</v>
      </c>
      <c r="C82" s="13">
        <v>0.19500000000000001</v>
      </c>
      <c r="D82" s="13">
        <v>0.17</v>
      </c>
      <c r="E82" s="14">
        <f t="shared" si="4"/>
        <v>2.5000000000000001E-2</v>
      </c>
      <c r="H82">
        <v>8</v>
      </c>
      <c r="I82" s="13">
        <v>0.27</v>
      </c>
      <c r="J82" s="13">
        <f t="shared" si="5"/>
        <v>0.26</v>
      </c>
      <c r="K82" s="14">
        <f t="shared" si="6"/>
        <v>4.7500000000000001E-2</v>
      </c>
    </row>
    <row r="83" spans="1:11">
      <c r="A83">
        <v>8.1</v>
      </c>
      <c r="B83" s="13">
        <v>0.2</v>
      </c>
      <c r="C83" s="13">
        <v>0.19500000000000001</v>
      </c>
      <c r="D83" s="13">
        <v>0.17</v>
      </c>
      <c r="E83" s="14">
        <f t="shared" si="4"/>
        <v>2.5000000000000001E-2</v>
      </c>
      <c r="H83">
        <v>8.1</v>
      </c>
      <c r="I83" s="13">
        <f t="shared" si="3"/>
        <v>0.27</v>
      </c>
      <c r="J83" s="13">
        <f t="shared" si="5"/>
        <v>0.26</v>
      </c>
      <c r="K83" s="14">
        <f t="shared" si="6"/>
        <v>4.7500000000000001E-2</v>
      </c>
    </row>
    <row r="84" spans="1:11">
      <c r="A84">
        <v>8.1999999999999993</v>
      </c>
      <c r="B84" s="13">
        <v>0.2</v>
      </c>
      <c r="C84" s="13">
        <v>0.19500000000000001</v>
      </c>
      <c r="D84" s="13">
        <v>0.17</v>
      </c>
      <c r="E84" s="14">
        <f t="shared" si="4"/>
        <v>2.5000000000000001E-2</v>
      </c>
      <c r="H84">
        <v>8.1999999999999993</v>
      </c>
      <c r="I84" s="13">
        <f t="shared" si="3"/>
        <v>0.27</v>
      </c>
      <c r="J84" s="13">
        <f t="shared" si="5"/>
        <v>0.26</v>
      </c>
      <c r="K84" s="14">
        <f t="shared" si="6"/>
        <v>4.7500000000000001E-2</v>
      </c>
    </row>
    <row r="85" spans="1:11">
      <c r="A85">
        <v>8.3000000000000007</v>
      </c>
      <c r="B85" s="13">
        <v>0.2</v>
      </c>
      <c r="C85" s="13">
        <v>0.19500000000000001</v>
      </c>
      <c r="D85" s="13">
        <v>0.17</v>
      </c>
      <c r="E85" s="14">
        <f t="shared" si="4"/>
        <v>2.5000000000000001E-2</v>
      </c>
      <c r="H85">
        <v>8.3000000000000007</v>
      </c>
      <c r="I85" s="13">
        <f t="shared" si="3"/>
        <v>0.27</v>
      </c>
      <c r="J85" s="13">
        <f t="shared" si="5"/>
        <v>0.26</v>
      </c>
      <c r="K85" s="14">
        <f t="shared" si="6"/>
        <v>4.7500000000000001E-2</v>
      </c>
    </row>
    <row r="86" spans="1:11">
      <c r="A86">
        <v>8.4</v>
      </c>
      <c r="B86" s="13">
        <v>0.2</v>
      </c>
      <c r="C86" s="13">
        <v>0.19500000000000001</v>
      </c>
      <c r="D86" s="13">
        <v>0.17</v>
      </c>
      <c r="E86" s="14">
        <f t="shared" si="4"/>
        <v>2.5000000000000001E-2</v>
      </c>
      <c r="H86">
        <v>8.4</v>
      </c>
      <c r="I86" s="13">
        <f t="shared" si="3"/>
        <v>0.27</v>
      </c>
      <c r="J86" s="13">
        <f t="shared" si="5"/>
        <v>0.26</v>
      </c>
      <c r="K86" s="14">
        <f t="shared" si="6"/>
        <v>4.7500000000000001E-2</v>
      </c>
    </row>
    <row r="87" spans="1:11">
      <c r="A87">
        <v>8.5</v>
      </c>
      <c r="B87" s="13">
        <v>0.20499999999999999</v>
      </c>
      <c r="C87" s="13">
        <v>0.19500000000000001</v>
      </c>
      <c r="D87" s="13">
        <v>0.17</v>
      </c>
      <c r="E87" s="14">
        <f t="shared" si="4"/>
        <v>2.5000000000000001E-2</v>
      </c>
      <c r="H87">
        <v>8.5</v>
      </c>
      <c r="I87" s="13">
        <v>0.28000000000000003</v>
      </c>
      <c r="J87" s="13">
        <f t="shared" si="5"/>
        <v>0.26</v>
      </c>
      <c r="K87" s="14">
        <f t="shared" si="6"/>
        <v>4.7500000000000001E-2</v>
      </c>
    </row>
    <row r="88" spans="1:11">
      <c r="A88">
        <v>8.6</v>
      </c>
      <c r="B88" s="13">
        <v>0.20499999999999999</v>
      </c>
      <c r="C88" s="13">
        <v>0.19500000000000001</v>
      </c>
      <c r="D88" s="13">
        <v>0.17</v>
      </c>
      <c r="E88" s="14">
        <f t="shared" si="4"/>
        <v>2.5000000000000001E-2</v>
      </c>
      <c r="H88">
        <v>8.6</v>
      </c>
      <c r="I88" s="13">
        <f t="shared" si="3"/>
        <v>0.28000000000000003</v>
      </c>
      <c r="J88" s="13">
        <f t="shared" si="5"/>
        <v>0.26</v>
      </c>
      <c r="K88" s="14">
        <f t="shared" si="6"/>
        <v>4.7500000000000001E-2</v>
      </c>
    </row>
    <row r="89" spans="1:11">
      <c r="A89">
        <v>8.6999999999999993</v>
      </c>
      <c r="B89" s="13">
        <v>0.20499999999999999</v>
      </c>
      <c r="C89" s="13">
        <v>0.19500000000000001</v>
      </c>
      <c r="D89" s="13">
        <v>0.17</v>
      </c>
      <c r="E89" s="14">
        <f t="shared" si="4"/>
        <v>2.5000000000000001E-2</v>
      </c>
      <c r="H89">
        <v>8.6999999999999993</v>
      </c>
      <c r="I89" s="13">
        <f t="shared" ref="I89:I152" si="7">+I88</f>
        <v>0.28000000000000003</v>
      </c>
      <c r="J89" s="13">
        <f t="shared" si="5"/>
        <v>0.26</v>
      </c>
      <c r="K89" s="14">
        <f t="shared" si="6"/>
        <v>4.7500000000000001E-2</v>
      </c>
    </row>
    <row r="90" spans="1:11">
      <c r="A90">
        <v>8.8000000000000007</v>
      </c>
      <c r="B90" s="13">
        <v>0.20499999999999999</v>
      </c>
      <c r="C90" s="13">
        <v>0.19500000000000001</v>
      </c>
      <c r="D90" s="13">
        <v>0.17</v>
      </c>
      <c r="E90" s="14">
        <f t="shared" si="4"/>
        <v>2.5000000000000001E-2</v>
      </c>
      <c r="H90">
        <v>8.8000000000000007</v>
      </c>
      <c r="I90" s="13">
        <f t="shared" si="7"/>
        <v>0.28000000000000003</v>
      </c>
      <c r="J90" s="13">
        <f t="shared" si="5"/>
        <v>0.26</v>
      </c>
      <c r="K90" s="14">
        <f t="shared" si="6"/>
        <v>4.7500000000000001E-2</v>
      </c>
    </row>
    <row r="91" spans="1:11">
      <c r="A91">
        <v>8.9</v>
      </c>
      <c r="B91" s="13">
        <v>0.20499999999999999</v>
      </c>
      <c r="C91" s="13">
        <v>0.19500000000000001</v>
      </c>
      <c r="D91" s="13">
        <v>0.17</v>
      </c>
      <c r="E91" s="14">
        <f t="shared" si="4"/>
        <v>2.5000000000000001E-2</v>
      </c>
      <c r="H91">
        <v>8.9</v>
      </c>
      <c r="I91" s="13">
        <f t="shared" si="7"/>
        <v>0.28000000000000003</v>
      </c>
      <c r="J91" s="13">
        <f t="shared" si="5"/>
        <v>0.26</v>
      </c>
      <c r="K91" s="14">
        <f t="shared" si="6"/>
        <v>4.7500000000000001E-2</v>
      </c>
    </row>
    <row r="92" spans="1:11">
      <c r="A92">
        <v>9</v>
      </c>
      <c r="B92" s="13">
        <v>0.21</v>
      </c>
      <c r="C92" s="13">
        <v>0.19500000000000001</v>
      </c>
      <c r="D92" s="13">
        <v>0.17</v>
      </c>
      <c r="E92" s="14">
        <f t="shared" si="4"/>
        <v>2.5000000000000001E-2</v>
      </c>
      <c r="H92">
        <v>9</v>
      </c>
      <c r="I92" s="13">
        <v>0.28999999999999998</v>
      </c>
      <c r="J92" s="13">
        <f t="shared" si="5"/>
        <v>0.26</v>
      </c>
      <c r="K92" s="14">
        <f t="shared" si="6"/>
        <v>4.7500000000000001E-2</v>
      </c>
    </row>
    <row r="93" spans="1:11">
      <c r="A93">
        <v>9.1</v>
      </c>
      <c r="B93" s="13">
        <v>0.21</v>
      </c>
      <c r="C93" s="13">
        <v>0.19500000000000001</v>
      </c>
      <c r="D93" s="13">
        <v>0.17</v>
      </c>
      <c r="E93" s="14">
        <f t="shared" si="4"/>
        <v>2.5000000000000001E-2</v>
      </c>
      <c r="H93">
        <v>9.1</v>
      </c>
      <c r="I93" s="13">
        <f t="shared" si="7"/>
        <v>0.28999999999999998</v>
      </c>
      <c r="J93" s="13">
        <f t="shared" si="5"/>
        <v>0.26</v>
      </c>
      <c r="K93" s="14">
        <f t="shared" si="6"/>
        <v>4.7500000000000001E-2</v>
      </c>
    </row>
    <row r="94" spans="1:11">
      <c r="A94">
        <v>9.1999999999999993</v>
      </c>
      <c r="B94" s="13">
        <v>0.21</v>
      </c>
      <c r="C94" s="13">
        <v>0.19500000000000001</v>
      </c>
      <c r="D94" s="13">
        <v>0.17</v>
      </c>
      <c r="E94" s="14">
        <f t="shared" si="4"/>
        <v>2.5000000000000001E-2</v>
      </c>
      <c r="H94">
        <v>9.1999999999999993</v>
      </c>
      <c r="I94" s="13">
        <f t="shared" si="7"/>
        <v>0.28999999999999998</v>
      </c>
      <c r="J94" s="13">
        <f t="shared" si="5"/>
        <v>0.26</v>
      </c>
      <c r="K94" s="14">
        <f t="shared" si="6"/>
        <v>4.7500000000000001E-2</v>
      </c>
    </row>
    <row r="95" spans="1:11">
      <c r="A95">
        <v>9.3000000000000007</v>
      </c>
      <c r="B95" s="13">
        <v>0.21</v>
      </c>
      <c r="C95" s="13">
        <v>0.19500000000000001</v>
      </c>
      <c r="D95" s="13">
        <v>0.17</v>
      </c>
      <c r="E95" s="14">
        <f t="shared" si="4"/>
        <v>2.5000000000000001E-2</v>
      </c>
      <c r="H95">
        <v>9.3000000000000007</v>
      </c>
      <c r="I95" s="13">
        <f t="shared" si="7"/>
        <v>0.28999999999999998</v>
      </c>
      <c r="J95" s="13">
        <f t="shared" si="5"/>
        <v>0.26</v>
      </c>
      <c r="K95" s="14">
        <f t="shared" si="6"/>
        <v>4.7500000000000001E-2</v>
      </c>
    </row>
    <row r="96" spans="1:11">
      <c r="A96">
        <v>9.4</v>
      </c>
      <c r="B96" s="13">
        <v>0.21</v>
      </c>
      <c r="C96" s="13">
        <v>0.19500000000000001</v>
      </c>
      <c r="D96" s="13">
        <v>0.17</v>
      </c>
      <c r="E96" s="14">
        <f t="shared" si="4"/>
        <v>2.5000000000000001E-2</v>
      </c>
      <c r="H96">
        <v>9.4</v>
      </c>
      <c r="I96" s="13">
        <f t="shared" si="7"/>
        <v>0.28999999999999998</v>
      </c>
      <c r="J96" s="13">
        <f t="shared" si="5"/>
        <v>0.26</v>
      </c>
      <c r="K96" s="14">
        <f t="shared" si="6"/>
        <v>4.7500000000000001E-2</v>
      </c>
    </row>
    <row r="97" spans="1:11">
      <c r="A97">
        <v>9.5</v>
      </c>
      <c r="B97" s="13">
        <v>0.215</v>
      </c>
      <c r="C97" s="13">
        <v>0.19500000000000001</v>
      </c>
      <c r="D97" s="13">
        <v>0.17</v>
      </c>
      <c r="E97" s="14">
        <f t="shared" si="4"/>
        <v>2.5000000000000001E-2</v>
      </c>
      <c r="H97">
        <v>9.5</v>
      </c>
      <c r="I97" s="13">
        <v>0.3</v>
      </c>
      <c r="J97" s="13">
        <f t="shared" si="5"/>
        <v>0.26</v>
      </c>
      <c r="K97" s="14">
        <f t="shared" si="6"/>
        <v>4.7500000000000001E-2</v>
      </c>
    </row>
    <row r="98" spans="1:11">
      <c r="A98">
        <v>9.6</v>
      </c>
      <c r="B98" s="13">
        <v>0.215</v>
      </c>
      <c r="C98" s="13">
        <v>0.19500000000000001</v>
      </c>
      <c r="D98" s="13">
        <v>0.17</v>
      </c>
      <c r="E98" s="14">
        <f t="shared" si="4"/>
        <v>2.5000000000000001E-2</v>
      </c>
      <c r="H98">
        <v>9.6</v>
      </c>
      <c r="I98" s="13">
        <f t="shared" si="7"/>
        <v>0.3</v>
      </c>
      <c r="J98" s="13">
        <f t="shared" si="5"/>
        <v>0.26</v>
      </c>
      <c r="K98" s="14">
        <f t="shared" si="6"/>
        <v>4.7500000000000001E-2</v>
      </c>
    </row>
    <row r="99" spans="1:11">
      <c r="A99">
        <v>9.6999999999999993</v>
      </c>
      <c r="B99" s="13">
        <v>0.215</v>
      </c>
      <c r="C99" s="13">
        <v>0.19500000000000001</v>
      </c>
      <c r="D99" s="13">
        <v>0.17</v>
      </c>
      <c r="E99" s="14">
        <f t="shared" si="4"/>
        <v>2.5000000000000001E-2</v>
      </c>
      <c r="H99">
        <v>9.6999999999999993</v>
      </c>
      <c r="I99" s="13">
        <f t="shared" si="7"/>
        <v>0.3</v>
      </c>
      <c r="J99" s="13">
        <f t="shared" si="5"/>
        <v>0.26</v>
      </c>
      <c r="K99" s="14">
        <f t="shared" si="6"/>
        <v>4.7500000000000001E-2</v>
      </c>
    </row>
    <row r="100" spans="1:11">
      <c r="A100">
        <v>9.8000000000000007</v>
      </c>
      <c r="B100" s="13">
        <v>0.215</v>
      </c>
      <c r="C100" s="13">
        <v>0.19500000000000001</v>
      </c>
      <c r="D100" s="13">
        <v>0.17</v>
      </c>
      <c r="E100" s="14">
        <f t="shared" si="4"/>
        <v>2.5000000000000001E-2</v>
      </c>
      <c r="H100">
        <v>9.8000000000000007</v>
      </c>
      <c r="I100" s="13">
        <f t="shared" si="7"/>
        <v>0.3</v>
      </c>
      <c r="J100" s="13">
        <f t="shared" si="5"/>
        <v>0.26</v>
      </c>
      <c r="K100" s="14">
        <f t="shared" si="6"/>
        <v>4.7500000000000001E-2</v>
      </c>
    </row>
    <row r="101" spans="1:11">
      <c r="A101">
        <v>9.9</v>
      </c>
      <c r="B101" s="13">
        <v>0.215</v>
      </c>
      <c r="C101" s="13">
        <v>0.19500000000000001</v>
      </c>
      <c r="D101" s="13">
        <v>0.17</v>
      </c>
      <c r="E101" s="14">
        <f t="shared" si="4"/>
        <v>2.5000000000000001E-2</v>
      </c>
      <c r="H101">
        <v>9.9</v>
      </c>
      <c r="I101" s="13">
        <f t="shared" si="7"/>
        <v>0.3</v>
      </c>
      <c r="J101" s="13">
        <f t="shared" si="5"/>
        <v>0.26</v>
      </c>
      <c r="K101" s="14">
        <f t="shared" si="6"/>
        <v>4.7500000000000001E-2</v>
      </c>
    </row>
    <row r="102" spans="1:11">
      <c r="A102">
        <v>10</v>
      </c>
      <c r="B102" s="13">
        <v>0.215</v>
      </c>
      <c r="C102" s="13">
        <v>0.19500000000000001</v>
      </c>
      <c r="D102" s="13">
        <v>0.17</v>
      </c>
      <c r="E102" s="14">
        <f t="shared" si="4"/>
        <v>2.5000000000000001E-2</v>
      </c>
      <c r="H102">
        <v>10</v>
      </c>
      <c r="I102" s="13">
        <v>0.31</v>
      </c>
      <c r="J102" s="13">
        <f t="shared" si="5"/>
        <v>0.26</v>
      </c>
      <c r="K102" s="14">
        <f t="shared" si="6"/>
        <v>4.7500000000000001E-2</v>
      </c>
    </row>
    <row r="103" spans="1:11">
      <c r="A103">
        <v>10.1</v>
      </c>
      <c r="B103" s="13">
        <v>0.215</v>
      </c>
      <c r="C103" s="13">
        <v>0.19500000000000001</v>
      </c>
      <c r="D103" s="13">
        <v>0.17</v>
      </c>
      <c r="E103" s="14">
        <f t="shared" si="4"/>
        <v>2.5000000000000001E-2</v>
      </c>
      <c r="H103">
        <v>10.1</v>
      </c>
      <c r="I103" s="13">
        <f t="shared" si="7"/>
        <v>0.31</v>
      </c>
      <c r="J103" s="13">
        <f t="shared" si="5"/>
        <v>0.26</v>
      </c>
      <c r="K103" s="14">
        <f t="shared" si="6"/>
        <v>4.7500000000000001E-2</v>
      </c>
    </row>
    <row r="104" spans="1:11">
      <c r="A104">
        <v>10.199999999999999</v>
      </c>
      <c r="B104" s="13">
        <v>0.215</v>
      </c>
      <c r="C104" s="13">
        <v>0.19500000000000001</v>
      </c>
      <c r="D104" s="13">
        <v>0.17</v>
      </c>
      <c r="E104" s="14">
        <f t="shared" si="4"/>
        <v>2.5000000000000001E-2</v>
      </c>
      <c r="H104">
        <v>10.199999999999999</v>
      </c>
      <c r="I104" s="13">
        <f t="shared" si="7"/>
        <v>0.31</v>
      </c>
      <c r="J104" s="13">
        <f t="shared" si="5"/>
        <v>0.26</v>
      </c>
      <c r="K104" s="14">
        <f t="shared" si="6"/>
        <v>4.7500000000000001E-2</v>
      </c>
    </row>
    <row r="105" spans="1:11">
      <c r="A105">
        <v>10.3</v>
      </c>
      <c r="B105" s="13">
        <v>0.215</v>
      </c>
      <c r="C105" s="13">
        <v>0.19500000000000001</v>
      </c>
      <c r="D105" s="13">
        <v>0.17</v>
      </c>
      <c r="E105" s="14">
        <f t="shared" si="4"/>
        <v>2.5000000000000001E-2</v>
      </c>
      <c r="H105">
        <v>10.3</v>
      </c>
      <c r="I105" s="13">
        <f t="shared" si="7"/>
        <v>0.31</v>
      </c>
      <c r="J105" s="13">
        <f t="shared" si="5"/>
        <v>0.26</v>
      </c>
      <c r="K105" s="14">
        <f t="shared" si="6"/>
        <v>4.7500000000000001E-2</v>
      </c>
    </row>
    <row r="106" spans="1:11">
      <c r="A106">
        <v>10.4</v>
      </c>
      <c r="B106" s="13">
        <v>0.215</v>
      </c>
      <c r="C106" s="13">
        <v>0.19500000000000001</v>
      </c>
      <c r="D106" s="13">
        <v>0.17</v>
      </c>
      <c r="E106" s="14">
        <f t="shared" si="4"/>
        <v>2.5000000000000001E-2</v>
      </c>
      <c r="H106">
        <v>10.4</v>
      </c>
      <c r="I106" s="13">
        <f t="shared" si="7"/>
        <v>0.31</v>
      </c>
      <c r="J106" s="13">
        <f t="shared" si="5"/>
        <v>0.26</v>
      </c>
      <c r="K106" s="14">
        <f t="shared" si="6"/>
        <v>4.7500000000000001E-2</v>
      </c>
    </row>
    <row r="107" spans="1:11">
      <c r="A107">
        <v>10.5</v>
      </c>
      <c r="B107" s="13">
        <v>0.215</v>
      </c>
      <c r="C107" s="13">
        <v>0.19500000000000001</v>
      </c>
      <c r="D107" s="13">
        <v>0.17</v>
      </c>
      <c r="E107" s="14">
        <f t="shared" si="4"/>
        <v>2.5000000000000001E-2</v>
      </c>
      <c r="H107">
        <v>10.5</v>
      </c>
      <c r="I107" s="13">
        <v>0.32</v>
      </c>
      <c r="J107" s="13">
        <f t="shared" si="5"/>
        <v>0.26</v>
      </c>
      <c r="K107" s="14">
        <f t="shared" si="6"/>
        <v>4.7500000000000001E-2</v>
      </c>
    </row>
    <row r="108" spans="1:11">
      <c r="A108">
        <v>10.6</v>
      </c>
      <c r="B108" s="13">
        <v>0.215</v>
      </c>
      <c r="C108" s="13">
        <v>0.19500000000000001</v>
      </c>
      <c r="D108" s="13">
        <v>0.17</v>
      </c>
      <c r="E108" s="14">
        <f t="shared" si="4"/>
        <v>2.5000000000000001E-2</v>
      </c>
      <c r="H108">
        <v>10.6</v>
      </c>
      <c r="I108" s="13">
        <f t="shared" si="7"/>
        <v>0.32</v>
      </c>
      <c r="J108" s="13">
        <f t="shared" si="5"/>
        <v>0.26</v>
      </c>
      <c r="K108" s="14">
        <f t="shared" si="6"/>
        <v>4.7500000000000001E-2</v>
      </c>
    </row>
    <row r="109" spans="1:11">
      <c r="A109">
        <v>10.7</v>
      </c>
      <c r="B109" s="13">
        <v>0.215</v>
      </c>
      <c r="C109" s="13">
        <v>0.19500000000000001</v>
      </c>
      <c r="D109" s="13">
        <v>0.17</v>
      </c>
      <c r="E109" s="14">
        <f t="shared" si="4"/>
        <v>2.5000000000000001E-2</v>
      </c>
      <c r="H109">
        <v>10.7</v>
      </c>
      <c r="I109" s="13">
        <f t="shared" si="7"/>
        <v>0.32</v>
      </c>
      <c r="J109" s="13">
        <f t="shared" si="5"/>
        <v>0.26</v>
      </c>
      <c r="K109" s="14">
        <f t="shared" si="6"/>
        <v>4.7500000000000001E-2</v>
      </c>
    </row>
    <row r="110" spans="1:11">
      <c r="A110">
        <v>10.8</v>
      </c>
      <c r="B110" s="13">
        <v>0.215</v>
      </c>
      <c r="C110" s="13">
        <v>0.19500000000000001</v>
      </c>
      <c r="D110" s="13">
        <v>0.17</v>
      </c>
      <c r="E110" s="14">
        <f t="shared" si="4"/>
        <v>2.5000000000000001E-2</v>
      </c>
      <c r="H110">
        <v>10.8</v>
      </c>
      <c r="I110" s="13">
        <f t="shared" si="7"/>
        <v>0.32</v>
      </c>
      <c r="J110" s="13">
        <f t="shared" si="5"/>
        <v>0.26</v>
      </c>
      <c r="K110" s="14">
        <f t="shared" si="6"/>
        <v>4.7500000000000001E-2</v>
      </c>
    </row>
    <row r="111" spans="1:11">
      <c r="A111">
        <v>10.9</v>
      </c>
      <c r="B111" s="13">
        <v>0.215</v>
      </c>
      <c r="C111" s="13">
        <v>0.19500000000000001</v>
      </c>
      <c r="D111" s="13">
        <v>0.17</v>
      </c>
      <c r="E111" s="14">
        <f t="shared" si="4"/>
        <v>2.5000000000000001E-2</v>
      </c>
      <c r="H111">
        <v>10.9</v>
      </c>
      <c r="I111" s="13">
        <f t="shared" si="7"/>
        <v>0.32</v>
      </c>
      <c r="J111" s="13">
        <f t="shared" si="5"/>
        <v>0.26</v>
      </c>
      <c r="K111" s="14">
        <f t="shared" si="6"/>
        <v>4.7500000000000001E-2</v>
      </c>
    </row>
    <row r="112" spans="1:11">
      <c r="A112">
        <v>11</v>
      </c>
      <c r="B112" s="13">
        <v>0.215</v>
      </c>
      <c r="C112" s="13">
        <v>0.19500000000000001</v>
      </c>
      <c r="D112" s="13">
        <v>0.17</v>
      </c>
      <c r="E112" s="14">
        <f t="shared" si="4"/>
        <v>2.5000000000000001E-2</v>
      </c>
      <c r="H112">
        <v>11</v>
      </c>
      <c r="I112" s="13">
        <v>0.33</v>
      </c>
      <c r="J112" s="13">
        <f t="shared" si="5"/>
        <v>0.26</v>
      </c>
      <c r="K112" s="14">
        <f t="shared" si="6"/>
        <v>4.7500000000000001E-2</v>
      </c>
    </row>
    <row r="113" spans="1:11">
      <c r="A113">
        <v>11.1</v>
      </c>
      <c r="B113" s="13">
        <v>0.215</v>
      </c>
      <c r="C113" s="13">
        <v>0.19500000000000001</v>
      </c>
      <c r="D113" s="13">
        <v>0.17</v>
      </c>
      <c r="E113" s="14">
        <f t="shared" si="4"/>
        <v>2.5000000000000001E-2</v>
      </c>
      <c r="H113">
        <v>11.1</v>
      </c>
      <c r="I113" s="13">
        <f t="shared" si="7"/>
        <v>0.33</v>
      </c>
      <c r="J113" s="13">
        <f t="shared" si="5"/>
        <v>0.26</v>
      </c>
      <c r="K113" s="14">
        <f t="shared" si="6"/>
        <v>4.7500000000000001E-2</v>
      </c>
    </row>
    <row r="114" spans="1:11">
      <c r="A114">
        <v>11.2</v>
      </c>
      <c r="B114" s="13">
        <v>0.215</v>
      </c>
      <c r="C114" s="13">
        <v>0.19500000000000001</v>
      </c>
      <c r="D114" s="13">
        <v>0.17</v>
      </c>
      <c r="E114" s="14">
        <f t="shared" si="4"/>
        <v>2.5000000000000001E-2</v>
      </c>
      <c r="H114">
        <v>11.2</v>
      </c>
      <c r="I114" s="13">
        <f t="shared" si="7"/>
        <v>0.33</v>
      </c>
      <c r="J114" s="13">
        <f t="shared" si="5"/>
        <v>0.26</v>
      </c>
      <c r="K114" s="14">
        <f t="shared" si="6"/>
        <v>4.7500000000000001E-2</v>
      </c>
    </row>
    <row r="115" spans="1:11">
      <c r="A115">
        <v>11.3</v>
      </c>
      <c r="B115" s="13">
        <v>0.215</v>
      </c>
      <c r="C115" s="13">
        <v>0.19500000000000001</v>
      </c>
      <c r="D115" s="13">
        <v>0.17</v>
      </c>
      <c r="E115" s="14">
        <f t="shared" si="4"/>
        <v>2.5000000000000001E-2</v>
      </c>
      <c r="H115">
        <v>11.3</v>
      </c>
      <c r="I115" s="13">
        <f t="shared" si="7"/>
        <v>0.33</v>
      </c>
      <c r="J115" s="13">
        <f t="shared" si="5"/>
        <v>0.26</v>
      </c>
      <c r="K115" s="14">
        <f t="shared" si="6"/>
        <v>4.7500000000000001E-2</v>
      </c>
    </row>
    <row r="116" spans="1:11">
      <c r="A116">
        <v>11.4</v>
      </c>
      <c r="B116" s="13">
        <v>0.215</v>
      </c>
      <c r="C116" s="13">
        <v>0.19500000000000001</v>
      </c>
      <c r="D116" s="13">
        <v>0.17</v>
      </c>
      <c r="E116" s="14">
        <f t="shared" si="4"/>
        <v>2.5000000000000001E-2</v>
      </c>
      <c r="H116">
        <v>11.4</v>
      </c>
      <c r="I116" s="13">
        <f t="shared" si="7"/>
        <v>0.33</v>
      </c>
      <c r="J116" s="13">
        <f t="shared" si="5"/>
        <v>0.26</v>
      </c>
      <c r="K116" s="14">
        <f t="shared" si="6"/>
        <v>4.7500000000000001E-2</v>
      </c>
    </row>
    <row r="117" spans="1:11">
      <c r="A117">
        <v>11.5</v>
      </c>
      <c r="B117" s="13">
        <v>0.215</v>
      </c>
      <c r="C117" s="13">
        <v>0.19500000000000001</v>
      </c>
      <c r="D117" s="13">
        <v>0.17</v>
      </c>
      <c r="E117" s="14">
        <f t="shared" si="4"/>
        <v>2.5000000000000001E-2</v>
      </c>
      <c r="H117">
        <v>11.5</v>
      </c>
      <c r="I117" s="13">
        <v>0.34</v>
      </c>
      <c r="J117" s="13">
        <f t="shared" si="5"/>
        <v>0.26</v>
      </c>
      <c r="K117" s="14">
        <f t="shared" si="6"/>
        <v>4.7500000000000001E-2</v>
      </c>
    </row>
    <row r="118" spans="1:11">
      <c r="A118">
        <v>11.6</v>
      </c>
      <c r="B118" s="13">
        <v>0.215</v>
      </c>
      <c r="C118" s="13">
        <v>0.19500000000000001</v>
      </c>
      <c r="D118" s="13">
        <v>0.17</v>
      </c>
      <c r="E118" s="14">
        <f t="shared" si="4"/>
        <v>2.5000000000000001E-2</v>
      </c>
      <c r="H118">
        <v>11.6</v>
      </c>
      <c r="I118" s="13">
        <f t="shared" si="7"/>
        <v>0.34</v>
      </c>
      <c r="J118" s="13">
        <f t="shared" si="5"/>
        <v>0.26</v>
      </c>
      <c r="K118" s="14">
        <f t="shared" si="6"/>
        <v>4.7500000000000001E-2</v>
      </c>
    </row>
    <row r="119" spans="1:11">
      <c r="A119">
        <v>11.7</v>
      </c>
      <c r="B119" s="13">
        <v>0.215</v>
      </c>
      <c r="C119" s="13">
        <v>0.19500000000000001</v>
      </c>
      <c r="D119" s="13">
        <v>0.17</v>
      </c>
      <c r="E119" s="14">
        <f t="shared" si="4"/>
        <v>2.5000000000000001E-2</v>
      </c>
      <c r="H119">
        <v>11.7</v>
      </c>
      <c r="I119" s="13">
        <f t="shared" si="7"/>
        <v>0.34</v>
      </c>
      <c r="J119" s="13">
        <f t="shared" si="5"/>
        <v>0.26</v>
      </c>
      <c r="K119" s="14">
        <f t="shared" si="6"/>
        <v>4.7500000000000001E-2</v>
      </c>
    </row>
    <row r="120" spans="1:11">
      <c r="A120">
        <v>11.8</v>
      </c>
      <c r="B120" s="13">
        <v>0.215</v>
      </c>
      <c r="C120" s="13">
        <v>0.19500000000000001</v>
      </c>
      <c r="D120" s="13">
        <v>0.17</v>
      </c>
      <c r="E120" s="14">
        <f t="shared" si="4"/>
        <v>2.5000000000000001E-2</v>
      </c>
      <c r="H120">
        <v>11.8</v>
      </c>
      <c r="I120" s="13">
        <f t="shared" si="7"/>
        <v>0.34</v>
      </c>
      <c r="J120" s="13">
        <f t="shared" si="5"/>
        <v>0.26</v>
      </c>
      <c r="K120" s="14">
        <f t="shared" si="6"/>
        <v>4.7500000000000001E-2</v>
      </c>
    </row>
    <row r="121" spans="1:11">
      <c r="A121">
        <v>11.9</v>
      </c>
      <c r="B121" s="13">
        <v>0.215</v>
      </c>
      <c r="C121" s="13">
        <v>0.19500000000000001</v>
      </c>
      <c r="D121" s="13">
        <v>0.17</v>
      </c>
      <c r="E121" s="14">
        <f t="shared" si="4"/>
        <v>2.5000000000000001E-2</v>
      </c>
      <c r="H121">
        <v>11.9</v>
      </c>
      <c r="I121" s="13">
        <f t="shared" si="7"/>
        <v>0.34</v>
      </c>
      <c r="J121" s="13">
        <f t="shared" si="5"/>
        <v>0.26</v>
      </c>
      <c r="K121" s="14">
        <f t="shared" si="6"/>
        <v>4.7500000000000001E-2</v>
      </c>
    </row>
    <row r="122" spans="1:11">
      <c r="A122">
        <v>12</v>
      </c>
      <c r="B122" s="13">
        <v>0.215</v>
      </c>
      <c r="C122" s="13">
        <v>0.19500000000000001</v>
      </c>
      <c r="D122" s="13">
        <v>0.17</v>
      </c>
      <c r="E122" s="14">
        <f t="shared" si="4"/>
        <v>2.5000000000000001E-2</v>
      </c>
      <c r="H122">
        <v>12</v>
      </c>
      <c r="I122" s="13">
        <v>0.35</v>
      </c>
      <c r="J122" s="13">
        <f t="shared" si="5"/>
        <v>0.26</v>
      </c>
      <c r="K122" s="14">
        <f t="shared" si="6"/>
        <v>4.7500000000000001E-2</v>
      </c>
    </row>
    <row r="123" spans="1:11">
      <c r="A123">
        <v>12.1</v>
      </c>
      <c r="B123" s="13">
        <v>0.215</v>
      </c>
      <c r="C123" s="13">
        <v>0.19500000000000001</v>
      </c>
      <c r="D123" s="13">
        <v>0.17</v>
      </c>
      <c r="E123" s="14">
        <f t="shared" si="4"/>
        <v>2.5000000000000001E-2</v>
      </c>
      <c r="H123">
        <v>12.1</v>
      </c>
      <c r="I123" s="13">
        <f t="shared" si="7"/>
        <v>0.35</v>
      </c>
      <c r="J123" s="13">
        <f t="shared" si="5"/>
        <v>0.26</v>
      </c>
      <c r="K123" s="14">
        <f t="shared" si="6"/>
        <v>4.7500000000000001E-2</v>
      </c>
    </row>
    <row r="124" spans="1:11">
      <c r="A124">
        <v>12.2</v>
      </c>
      <c r="B124" s="13">
        <v>0.215</v>
      </c>
      <c r="C124" s="13">
        <v>0.19500000000000001</v>
      </c>
      <c r="D124" s="13">
        <v>0.17</v>
      </c>
      <c r="E124" s="14">
        <f t="shared" si="4"/>
        <v>2.5000000000000001E-2</v>
      </c>
      <c r="H124">
        <v>12.2</v>
      </c>
      <c r="I124" s="13">
        <f t="shared" si="7"/>
        <v>0.35</v>
      </c>
      <c r="J124" s="13">
        <f t="shared" si="5"/>
        <v>0.26</v>
      </c>
      <c r="K124" s="14">
        <f t="shared" si="6"/>
        <v>4.7500000000000001E-2</v>
      </c>
    </row>
    <row r="125" spans="1:11">
      <c r="A125">
        <v>12.3</v>
      </c>
      <c r="B125" s="13">
        <v>0.215</v>
      </c>
      <c r="C125" s="13">
        <v>0.19500000000000001</v>
      </c>
      <c r="D125" s="13">
        <v>0.17</v>
      </c>
      <c r="E125" s="14">
        <f t="shared" si="4"/>
        <v>2.5000000000000001E-2</v>
      </c>
      <c r="H125">
        <v>12.3</v>
      </c>
      <c r="I125" s="13">
        <f t="shared" si="7"/>
        <v>0.35</v>
      </c>
      <c r="J125" s="13">
        <f t="shared" si="5"/>
        <v>0.26</v>
      </c>
      <c r="K125" s="14">
        <f t="shared" si="6"/>
        <v>4.7500000000000001E-2</v>
      </c>
    </row>
    <row r="126" spans="1:11">
      <c r="A126">
        <v>12.4</v>
      </c>
      <c r="B126" s="13">
        <v>0.215</v>
      </c>
      <c r="C126" s="13">
        <v>0.19500000000000001</v>
      </c>
      <c r="D126" s="13">
        <v>0.17</v>
      </c>
      <c r="E126" s="14">
        <f t="shared" si="4"/>
        <v>2.5000000000000001E-2</v>
      </c>
      <c r="H126">
        <v>12.4</v>
      </c>
      <c r="I126" s="13">
        <f t="shared" si="7"/>
        <v>0.35</v>
      </c>
      <c r="J126" s="13">
        <f t="shared" si="5"/>
        <v>0.26</v>
      </c>
      <c r="K126" s="14">
        <f t="shared" si="6"/>
        <v>4.7500000000000001E-2</v>
      </c>
    </row>
    <row r="127" spans="1:11">
      <c r="A127">
        <v>12.5</v>
      </c>
      <c r="B127" s="13">
        <v>0.215</v>
      </c>
      <c r="C127" s="13">
        <v>0.19500000000000001</v>
      </c>
      <c r="D127" s="13">
        <v>0.17</v>
      </c>
      <c r="E127" s="14">
        <f t="shared" si="4"/>
        <v>2.5000000000000001E-2</v>
      </c>
      <c r="H127">
        <v>12.5</v>
      </c>
      <c r="I127" s="13">
        <v>0.36</v>
      </c>
      <c r="J127" s="13">
        <f t="shared" si="5"/>
        <v>0.26</v>
      </c>
      <c r="K127" s="14">
        <f t="shared" si="6"/>
        <v>4.7500000000000001E-2</v>
      </c>
    </row>
    <row r="128" spans="1:11">
      <c r="A128">
        <v>12.6</v>
      </c>
      <c r="B128" s="13">
        <v>0.215</v>
      </c>
      <c r="C128" s="13">
        <v>0.19500000000000001</v>
      </c>
      <c r="D128" s="13">
        <v>0.17</v>
      </c>
      <c r="E128" s="14">
        <f t="shared" si="4"/>
        <v>2.5000000000000001E-2</v>
      </c>
      <c r="H128">
        <v>12.6</v>
      </c>
      <c r="I128" s="13">
        <f t="shared" si="7"/>
        <v>0.36</v>
      </c>
      <c r="J128" s="13">
        <f t="shared" si="5"/>
        <v>0.26</v>
      </c>
      <c r="K128" s="14">
        <f t="shared" si="6"/>
        <v>4.7500000000000001E-2</v>
      </c>
    </row>
    <row r="129" spans="1:11">
      <c r="A129">
        <v>12.7</v>
      </c>
      <c r="B129" s="13">
        <v>0.215</v>
      </c>
      <c r="C129" s="13">
        <v>0.19500000000000001</v>
      </c>
      <c r="D129" s="13">
        <v>0.17</v>
      </c>
      <c r="E129" s="14">
        <f t="shared" si="4"/>
        <v>2.5000000000000001E-2</v>
      </c>
      <c r="H129">
        <v>12.7</v>
      </c>
      <c r="I129" s="13">
        <f t="shared" si="7"/>
        <v>0.36</v>
      </c>
      <c r="J129" s="13">
        <v>0.17</v>
      </c>
      <c r="K129" s="14">
        <f t="shared" si="6"/>
        <v>4.7500000000000001E-2</v>
      </c>
    </row>
    <row r="130" spans="1:11">
      <c r="A130">
        <v>12.8</v>
      </c>
      <c r="B130" s="13">
        <v>0.215</v>
      </c>
      <c r="C130" s="13">
        <v>0.19500000000000001</v>
      </c>
      <c r="D130" s="13">
        <v>0.17</v>
      </c>
      <c r="E130" s="14">
        <f t="shared" si="4"/>
        <v>2.5000000000000001E-2</v>
      </c>
      <c r="H130">
        <v>12.8</v>
      </c>
      <c r="I130" s="13">
        <f t="shared" si="7"/>
        <v>0.36</v>
      </c>
      <c r="J130" s="13">
        <v>0.17</v>
      </c>
      <c r="K130" s="14">
        <f t="shared" si="6"/>
        <v>4.7500000000000001E-2</v>
      </c>
    </row>
    <row r="131" spans="1:11">
      <c r="A131">
        <v>12.9</v>
      </c>
      <c r="B131" s="13">
        <v>0.215</v>
      </c>
      <c r="C131" s="13">
        <v>0.19500000000000001</v>
      </c>
      <c r="D131" s="13">
        <v>0.17</v>
      </c>
      <c r="E131" s="14">
        <f t="shared" si="4"/>
        <v>2.5000000000000001E-2</v>
      </c>
      <c r="H131">
        <v>12.9</v>
      </c>
      <c r="I131" s="13">
        <f t="shared" si="7"/>
        <v>0.36</v>
      </c>
      <c r="J131" s="13">
        <v>0.17</v>
      </c>
      <c r="K131" s="14">
        <f t="shared" si="6"/>
        <v>4.7500000000000001E-2</v>
      </c>
    </row>
    <row r="132" spans="1:11">
      <c r="A132">
        <v>13</v>
      </c>
      <c r="B132" s="13">
        <v>0.215</v>
      </c>
      <c r="C132" s="13">
        <v>0.19500000000000001</v>
      </c>
      <c r="D132" s="13">
        <v>0.17</v>
      </c>
      <c r="E132" s="14">
        <v>2.75E-2</v>
      </c>
      <c r="H132">
        <v>13</v>
      </c>
      <c r="I132" s="13">
        <f t="shared" si="7"/>
        <v>0.36</v>
      </c>
      <c r="J132" s="13">
        <v>0.17</v>
      </c>
      <c r="K132" s="14">
        <f t="shared" ref="K132:K195" si="8">+K131</f>
        <v>4.7500000000000001E-2</v>
      </c>
    </row>
    <row r="133" spans="1:11">
      <c r="A133">
        <v>13.1</v>
      </c>
      <c r="B133" s="13">
        <v>0.215</v>
      </c>
      <c r="C133" s="13">
        <v>0.19500000000000001</v>
      </c>
      <c r="D133" s="13">
        <v>0.17</v>
      </c>
      <c r="E133" s="14">
        <f t="shared" ref="E133:E195" si="9">+E132</f>
        <v>2.75E-2</v>
      </c>
      <c r="H133">
        <v>13.1</v>
      </c>
      <c r="I133" s="13">
        <f t="shared" si="7"/>
        <v>0.36</v>
      </c>
      <c r="J133" s="13">
        <v>0.17</v>
      </c>
      <c r="K133" s="14">
        <f t="shared" si="8"/>
        <v>4.7500000000000001E-2</v>
      </c>
    </row>
    <row r="134" spans="1:11">
      <c r="A134">
        <v>13.2</v>
      </c>
      <c r="B134" s="13">
        <v>0.215</v>
      </c>
      <c r="C134" s="13">
        <v>0.19500000000000001</v>
      </c>
      <c r="D134" s="13">
        <v>0.17</v>
      </c>
      <c r="E134" s="14">
        <f t="shared" si="9"/>
        <v>2.75E-2</v>
      </c>
      <c r="H134">
        <v>13.2</v>
      </c>
      <c r="I134" s="13">
        <f t="shared" si="7"/>
        <v>0.36</v>
      </c>
      <c r="J134" s="13">
        <v>0.17</v>
      </c>
      <c r="K134" s="14">
        <f t="shared" si="8"/>
        <v>4.7500000000000001E-2</v>
      </c>
    </row>
    <row r="135" spans="1:11">
      <c r="A135">
        <v>13.3</v>
      </c>
      <c r="B135" s="13">
        <v>0.215</v>
      </c>
      <c r="C135" s="13">
        <v>0.19500000000000001</v>
      </c>
      <c r="D135" s="13">
        <v>0.17</v>
      </c>
      <c r="E135" s="14">
        <f t="shared" si="9"/>
        <v>2.75E-2</v>
      </c>
      <c r="H135">
        <v>13.3</v>
      </c>
      <c r="I135" s="13">
        <f t="shared" si="7"/>
        <v>0.36</v>
      </c>
      <c r="J135" s="13">
        <v>0.17</v>
      </c>
      <c r="K135" s="14">
        <f t="shared" si="8"/>
        <v>4.7500000000000001E-2</v>
      </c>
    </row>
    <row r="136" spans="1:11">
      <c r="A136">
        <v>13.4</v>
      </c>
      <c r="B136" s="13">
        <v>0.215</v>
      </c>
      <c r="C136" s="13">
        <v>0.19500000000000001</v>
      </c>
      <c r="D136" s="13">
        <v>0.17</v>
      </c>
      <c r="E136" s="14">
        <v>2.5000000000000001E-2</v>
      </c>
      <c r="H136">
        <v>13.4</v>
      </c>
      <c r="I136" s="13">
        <f t="shared" si="7"/>
        <v>0.36</v>
      </c>
      <c r="J136" s="13">
        <v>0.17</v>
      </c>
      <c r="K136" s="14">
        <f t="shared" si="8"/>
        <v>4.7500000000000001E-2</v>
      </c>
    </row>
    <row r="137" spans="1:11">
      <c r="A137">
        <v>13.5</v>
      </c>
      <c r="B137" s="13">
        <v>0.215</v>
      </c>
      <c r="C137" s="13">
        <v>0.19500000000000001</v>
      </c>
      <c r="D137" s="13">
        <v>0.17</v>
      </c>
      <c r="E137" s="14">
        <v>2.75E-2</v>
      </c>
      <c r="H137">
        <v>13.5</v>
      </c>
      <c r="I137" s="13">
        <f t="shared" si="7"/>
        <v>0.36</v>
      </c>
      <c r="J137" s="13">
        <v>0.17</v>
      </c>
      <c r="K137" s="14">
        <v>0.05</v>
      </c>
    </row>
    <row r="138" spans="1:11">
      <c r="A138">
        <v>13.6</v>
      </c>
      <c r="B138" s="13">
        <v>0.215</v>
      </c>
      <c r="C138" s="13">
        <v>0.19500000000000001</v>
      </c>
      <c r="D138" s="13">
        <v>0.17</v>
      </c>
      <c r="E138" s="14">
        <f t="shared" si="9"/>
        <v>2.75E-2</v>
      </c>
      <c r="H138">
        <v>13.6</v>
      </c>
      <c r="I138" s="13">
        <f t="shared" si="7"/>
        <v>0.36</v>
      </c>
      <c r="J138" s="13">
        <v>0.17</v>
      </c>
      <c r="K138" s="14">
        <f t="shared" si="8"/>
        <v>0.05</v>
      </c>
    </row>
    <row r="139" spans="1:11">
      <c r="A139">
        <v>13.7</v>
      </c>
      <c r="B139" s="13">
        <v>0.215</v>
      </c>
      <c r="C139" s="13">
        <v>0.19500000000000001</v>
      </c>
      <c r="D139" s="13">
        <v>0.17</v>
      </c>
      <c r="E139" s="14">
        <f t="shared" si="9"/>
        <v>2.75E-2</v>
      </c>
      <c r="H139">
        <v>13.7</v>
      </c>
      <c r="I139" s="13">
        <f t="shared" si="7"/>
        <v>0.36</v>
      </c>
      <c r="J139" s="13">
        <v>0.17</v>
      </c>
      <c r="K139" s="14">
        <f t="shared" si="8"/>
        <v>0.05</v>
      </c>
    </row>
    <row r="140" spans="1:11">
      <c r="A140">
        <v>13.8</v>
      </c>
      <c r="B140" s="13">
        <v>0.215</v>
      </c>
      <c r="C140" s="13">
        <v>0.19500000000000001</v>
      </c>
      <c r="D140" s="13">
        <v>0.17</v>
      </c>
      <c r="E140" s="14">
        <f t="shared" si="9"/>
        <v>2.75E-2</v>
      </c>
      <c r="H140">
        <v>13.8</v>
      </c>
      <c r="I140" s="13">
        <f t="shared" si="7"/>
        <v>0.36</v>
      </c>
      <c r="J140" s="13">
        <v>0.17</v>
      </c>
      <c r="K140" s="14">
        <f t="shared" si="8"/>
        <v>0.05</v>
      </c>
    </row>
    <row r="141" spans="1:11">
      <c r="A141">
        <v>13.9</v>
      </c>
      <c r="B141" s="13">
        <v>0.215</v>
      </c>
      <c r="C141" s="13">
        <v>0.19500000000000001</v>
      </c>
      <c r="D141" s="13">
        <v>0.17</v>
      </c>
      <c r="E141" s="14">
        <f t="shared" si="9"/>
        <v>2.75E-2</v>
      </c>
      <c r="H141">
        <v>13.9</v>
      </c>
      <c r="I141" s="13">
        <f t="shared" si="7"/>
        <v>0.36</v>
      </c>
      <c r="J141" s="13">
        <v>0.17</v>
      </c>
      <c r="K141" s="14">
        <f t="shared" si="8"/>
        <v>0.05</v>
      </c>
    </row>
    <row r="142" spans="1:11">
      <c r="A142">
        <v>14</v>
      </c>
      <c r="B142" s="13">
        <v>0.215</v>
      </c>
      <c r="C142" s="13">
        <v>0.19500000000000001</v>
      </c>
      <c r="D142" s="13">
        <v>0.17</v>
      </c>
      <c r="E142" s="14">
        <v>0.03</v>
      </c>
      <c r="H142">
        <v>14</v>
      </c>
      <c r="I142" s="13">
        <f t="shared" si="7"/>
        <v>0.36</v>
      </c>
      <c r="J142" s="13">
        <v>0.17</v>
      </c>
      <c r="K142" s="14">
        <v>5.2499999999999998E-2</v>
      </c>
    </row>
    <row r="143" spans="1:11">
      <c r="A143">
        <v>14.1</v>
      </c>
      <c r="B143" s="13">
        <v>0.215</v>
      </c>
      <c r="C143" s="13">
        <v>0.19500000000000001</v>
      </c>
      <c r="D143" s="13">
        <v>0.17</v>
      </c>
      <c r="E143" s="14">
        <f t="shared" si="9"/>
        <v>0.03</v>
      </c>
      <c r="H143">
        <v>14.1</v>
      </c>
      <c r="I143" s="13">
        <f t="shared" si="7"/>
        <v>0.36</v>
      </c>
      <c r="J143" s="13">
        <v>0.17</v>
      </c>
      <c r="K143" s="14">
        <f t="shared" si="8"/>
        <v>5.2499999999999998E-2</v>
      </c>
    </row>
    <row r="144" spans="1:11">
      <c r="A144">
        <v>14.2</v>
      </c>
      <c r="B144" s="13">
        <v>0.215</v>
      </c>
      <c r="C144" s="13">
        <v>0.19500000000000001</v>
      </c>
      <c r="D144" s="13">
        <v>0.17</v>
      </c>
      <c r="E144" s="14">
        <f t="shared" si="9"/>
        <v>0.03</v>
      </c>
      <c r="H144">
        <v>14.2</v>
      </c>
      <c r="I144" s="13">
        <f t="shared" si="7"/>
        <v>0.36</v>
      </c>
      <c r="J144" s="13">
        <v>0.17</v>
      </c>
      <c r="K144" s="14">
        <f t="shared" si="8"/>
        <v>5.2499999999999998E-2</v>
      </c>
    </row>
    <row r="145" spans="1:11">
      <c r="A145">
        <v>14.3</v>
      </c>
      <c r="B145" s="13">
        <v>0.215</v>
      </c>
      <c r="C145" s="13">
        <v>0.19500000000000001</v>
      </c>
      <c r="D145" s="13">
        <v>0.17</v>
      </c>
      <c r="E145" s="14">
        <f t="shared" si="9"/>
        <v>0.03</v>
      </c>
      <c r="H145">
        <v>14.3</v>
      </c>
      <c r="I145" s="13">
        <f t="shared" si="7"/>
        <v>0.36</v>
      </c>
      <c r="J145" s="13">
        <v>0.17</v>
      </c>
      <c r="K145" s="14">
        <f t="shared" si="8"/>
        <v>5.2499999999999998E-2</v>
      </c>
    </row>
    <row r="146" spans="1:11">
      <c r="A146">
        <v>14.4</v>
      </c>
      <c r="B146" s="13">
        <v>0.215</v>
      </c>
      <c r="C146" s="13">
        <v>0.19500000000000001</v>
      </c>
      <c r="D146" s="13">
        <v>0.17</v>
      </c>
      <c r="E146" s="14">
        <f t="shared" si="9"/>
        <v>0.03</v>
      </c>
      <c r="H146">
        <v>14.4</v>
      </c>
      <c r="I146" s="13">
        <f t="shared" si="7"/>
        <v>0.36</v>
      </c>
      <c r="J146" s="13">
        <v>0.17</v>
      </c>
      <c r="K146" s="14">
        <f t="shared" si="8"/>
        <v>5.2499999999999998E-2</v>
      </c>
    </row>
    <row r="147" spans="1:11">
      <c r="A147">
        <v>14.5</v>
      </c>
      <c r="B147" s="13">
        <v>0.215</v>
      </c>
      <c r="C147" s="13">
        <v>0.19500000000000001</v>
      </c>
      <c r="D147" s="13">
        <v>0.17</v>
      </c>
      <c r="E147" s="14">
        <v>3.2500000000000001E-2</v>
      </c>
      <c r="H147">
        <v>14.5</v>
      </c>
      <c r="I147" s="13">
        <f t="shared" si="7"/>
        <v>0.36</v>
      </c>
      <c r="J147" s="13">
        <v>0.17</v>
      </c>
      <c r="K147" s="14">
        <v>5.5E-2</v>
      </c>
    </row>
    <row r="148" spans="1:11">
      <c r="A148">
        <v>14.6</v>
      </c>
      <c r="B148" s="13">
        <v>0.215</v>
      </c>
      <c r="C148" s="13">
        <v>0.19500000000000001</v>
      </c>
      <c r="D148" s="13">
        <v>0.17</v>
      </c>
      <c r="E148" s="14">
        <f t="shared" si="9"/>
        <v>3.2500000000000001E-2</v>
      </c>
      <c r="H148">
        <v>14.6</v>
      </c>
      <c r="I148" s="13">
        <f t="shared" si="7"/>
        <v>0.36</v>
      </c>
      <c r="J148" s="13">
        <v>0.17</v>
      </c>
      <c r="K148" s="14">
        <f t="shared" si="8"/>
        <v>5.5E-2</v>
      </c>
    </row>
    <row r="149" spans="1:11">
      <c r="A149">
        <v>14.7</v>
      </c>
      <c r="B149" s="13">
        <v>0.215</v>
      </c>
      <c r="C149" s="13">
        <v>0.19500000000000001</v>
      </c>
      <c r="D149" s="13">
        <v>0.17</v>
      </c>
      <c r="E149" s="14">
        <f t="shared" si="9"/>
        <v>3.2500000000000001E-2</v>
      </c>
      <c r="H149">
        <v>14.7</v>
      </c>
      <c r="I149" s="13">
        <f t="shared" si="7"/>
        <v>0.36</v>
      </c>
      <c r="J149" s="13">
        <v>0.17</v>
      </c>
      <c r="K149" s="14">
        <f t="shared" si="8"/>
        <v>5.5E-2</v>
      </c>
    </row>
    <row r="150" spans="1:11">
      <c r="A150">
        <v>14.8</v>
      </c>
      <c r="B150" s="13">
        <v>0.215</v>
      </c>
      <c r="C150" s="13">
        <v>0.19500000000000001</v>
      </c>
      <c r="D150" s="13">
        <v>0.17</v>
      </c>
      <c r="E150" s="14">
        <f t="shared" si="9"/>
        <v>3.2500000000000001E-2</v>
      </c>
      <c r="H150">
        <v>14.8</v>
      </c>
      <c r="I150" s="13">
        <f t="shared" si="7"/>
        <v>0.36</v>
      </c>
      <c r="J150" s="13">
        <v>0.17</v>
      </c>
      <c r="K150" s="14">
        <f t="shared" si="8"/>
        <v>5.5E-2</v>
      </c>
    </row>
    <row r="151" spans="1:11">
      <c r="A151">
        <v>14.9</v>
      </c>
      <c r="B151" s="13">
        <v>0.215</v>
      </c>
      <c r="C151" s="13">
        <v>0.19500000000000001</v>
      </c>
      <c r="D151" s="13">
        <v>0.17</v>
      </c>
      <c r="E151" s="14">
        <f t="shared" si="9"/>
        <v>3.2500000000000001E-2</v>
      </c>
      <c r="H151">
        <v>14.9</v>
      </c>
      <c r="I151" s="13">
        <f t="shared" si="7"/>
        <v>0.36</v>
      </c>
      <c r="J151" s="13">
        <v>0.17</v>
      </c>
      <c r="K151" s="14">
        <f t="shared" si="8"/>
        <v>5.5E-2</v>
      </c>
    </row>
    <row r="152" spans="1:11">
      <c r="A152">
        <v>15</v>
      </c>
      <c r="B152" s="13">
        <v>0.215</v>
      </c>
      <c r="C152" s="13">
        <v>0.19500000000000001</v>
      </c>
      <c r="D152" s="13">
        <v>0.17</v>
      </c>
      <c r="E152" s="14">
        <v>3.5000000000000003E-2</v>
      </c>
      <c r="H152">
        <v>15</v>
      </c>
      <c r="I152" s="13">
        <f t="shared" si="7"/>
        <v>0.36</v>
      </c>
      <c r="J152" s="13">
        <v>0.17</v>
      </c>
      <c r="K152" s="14">
        <v>5.7500000000000002E-2</v>
      </c>
    </row>
    <row r="153" spans="1:11">
      <c r="A153">
        <v>15.1</v>
      </c>
      <c r="B153" s="13">
        <v>0.215</v>
      </c>
      <c r="C153" s="13">
        <v>0.19500000000000001</v>
      </c>
      <c r="D153" s="13">
        <v>0.17</v>
      </c>
      <c r="E153" s="14">
        <f t="shared" si="9"/>
        <v>3.5000000000000003E-2</v>
      </c>
      <c r="H153">
        <v>15.1</v>
      </c>
      <c r="I153" s="13">
        <f t="shared" ref="I153:I202" si="10">+I152</f>
        <v>0.36</v>
      </c>
      <c r="J153" s="13">
        <v>0.17</v>
      </c>
      <c r="K153" s="14">
        <f t="shared" si="8"/>
        <v>5.7500000000000002E-2</v>
      </c>
    </row>
    <row r="154" spans="1:11">
      <c r="A154">
        <v>15.2</v>
      </c>
      <c r="B154" s="13">
        <v>0.215</v>
      </c>
      <c r="C154" s="13">
        <v>0.19500000000000001</v>
      </c>
      <c r="D154" s="13">
        <v>0.17</v>
      </c>
      <c r="E154" s="14">
        <f t="shared" si="9"/>
        <v>3.5000000000000003E-2</v>
      </c>
      <c r="H154">
        <v>15.2</v>
      </c>
      <c r="I154" s="13">
        <f t="shared" si="10"/>
        <v>0.36</v>
      </c>
      <c r="J154" s="13">
        <v>0.17</v>
      </c>
      <c r="K154" s="14">
        <f t="shared" si="8"/>
        <v>5.7500000000000002E-2</v>
      </c>
    </row>
    <row r="155" spans="1:11">
      <c r="A155">
        <f>+A154+0.1</f>
        <v>15.299999999999999</v>
      </c>
      <c r="B155" s="13">
        <v>0.215</v>
      </c>
      <c r="C155" s="13">
        <v>0.19500000000000001</v>
      </c>
      <c r="D155" s="13">
        <v>0.17</v>
      </c>
      <c r="E155" s="14">
        <f t="shared" si="9"/>
        <v>3.5000000000000003E-2</v>
      </c>
      <c r="H155">
        <f>+H154+0.1</f>
        <v>15.299999999999999</v>
      </c>
      <c r="I155" s="13">
        <f t="shared" si="10"/>
        <v>0.36</v>
      </c>
      <c r="J155" s="13">
        <v>0.17</v>
      </c>
      <c r="K155" s="14">
        <f t="shared" si="8"/>
        <v>5.7500000000000002E-2</v>
      </c>
    </row>
    <row r="156" spans="1:11">
      <c r="A156">
        <f t="shared" ref="A156:A219" si="11">+A155+0.1</f>
        <v>15.399999999999999</v>
      </c>
      <c r="B156" s="13">
        <v>0.215</v>
      </c>
      <c r="C156" s="13">
        <v>0.19500000000000001</v>
      </c>
      <c r="D156" s="13">
        <v>0.17</v>
      </c>
      <c r="E156" s="14">
        <f t="shared" si="9"/>
        <v>3.5000000000000003E-2</v>
      </c>
      <c r="H156">
        <f t="shared" ref="H156:H219" si="12">+H155+0.1</f>
        <v>15.399999999999999</v>
      </c>
      <c r="I156" s="13">
        <f t="shared" si="10"/>
        <v>0.36</v>
      </c>
      <c r="J156" s="13">
        <v>0.17</v>
      </c>
      <c r="K156" s="14">
        <f t="shared" si="8"/>
        <v>5.7500000000000002E-2</v>
      </c>
    </row>
    <row r="157" spans="1:11">
      <c r="A157">
        <f t="shared" si="11"/>
        <v>15.499999999999998</v>
      </c>
      <c r="B157" s="13">
        <v>0.215</v>
      </c>
      <c r="C157" s="13">
        <v>0.19500000000000001</v>
      </c>
      <c r="D157" s="13">
        <v>0.17</v>
      </c>
      <c r="E157" s="14">
        <v>3.7499999999999999E-2</v>
      </c>
      <c r="H157">
        <f t="shared" si="12"/>
        <v>15.499999999999998</v>
      </c>
      <c r="I157" s="13">
        <f t="shared" si="10"/>
        <v>0.36</v>
      </c>
      <c r="J157" s="13">
        <v>0.17</v>
      </c>
      <c r="K157" s="14">
        <v>0.06</v>
      </c>
    </row>
    <row r="158" spans="1:11">
      <c r="A158">
        <f t="shared" si="11"/>
        <v>15.599999999999998</v>
      </c>
      <c r="B158" s="13">
        <v>0.215</v>
      </c>
      <c r="C158" s="13">
        <v>0.19500000000000001</v>
      </c>
      <c r="D158" s="13">
        <v>0.17</v>
      </c>
      <c r="E158" s="14">
        <f t="shared" si="9"/>
        <v>3.7499999999999999E-2</v>
      </c>
      <c r="H158">
        <f t="shared" si="12"/>
        <v>15.599999999999998</v>
      </c>
      <c r="I158" s="13">
        <f t="shared" si="10"/>
        <v>0.36</v>
      </c>
      <c r="J158" s="13">
        <v>0.17</v>
      </c>
      <c r="K158" s="14">
        <f t="shared" si="8"/>
        <v>0.06</v>
      </c>
    </row>
    <row r="159" spans="1:11">
      <c r="A159">
        <f t="shared" si="11"/>
        <v>15.699999999999998</v>
      </c>
      <c r="B159" s="13">
        <v>0.215</v>
      </c>
      <c r="C159" s="13">
        <v>0.19500000000000001</v>
      </c>
      <c r="D159" s="13">
        <v>0.17</v>
      </c>
      <c r="E159" s="14">
        <f t="shared" si="9"/>
        <v>3.7499999999999999E-2</v>
      </c>
      <c r="H159">
        <f t="shared" si="12"/>
        <v>15.699999999999998</v>
      </c>
      <c r="I159" s="13">
        <f t="shared" si="10"/>
        <v>0.36</v>
      </c>
      <c r="J159" s="13">
        <v>0.17</v>
      </c>
      <c r="K159" s="14">
        <f t="shared" si="8"/>
        <v>0.06</v>
      </c>
    </row>
    <row r="160" spans="1:11">
      <c r="A160">
        <f t="shared" si="11"/>
        <v>15.799999999999997</v>
      </c>
      <c r="B160" s="13">
        <v>0.215</v>
      </c>
      <c r="C160" s="13">
        <v>0.19500000000000001</v>
      </c>
      <c r="D160" s="13">
        <v>0.17</v>
      </c>
      <c r="E160" s="14">
        <f t="shared" si="9"/>
        <v>3.7499999999999999E-2</v>
      </c>
      <c r="H160">
        <f t="shared" si="12"/>
        <v>15.799999999999997</v>
      </c>
      <c r="I160" s="13">
        <f t="shared" si="10"/>
        <v>0.36</v>
      </c>
      <c r="J160" s="13">
        <v>0.17</v>
      </c>
      <c r="K160" s="14">
        <f t="shared" si="8"/>
        <v>0.06</v>
      </c>
    </row>
    <row r="161" spans="1:11">
      <c r="A161">
        <f t="shared" si="11"/>
        <v>15.899999999999997</v>
      </c>
      <c r="B161" s="13">
        <v>0.215</v>
      </c>
      <c r="C161" s="13">
        <v>0.19500000000000001</v>
      </c>
      <c r="D161" s="13">
        <v>0.17</v>
      </c>
      <c r="E161" s="14">
        <f t="shared" si="9"/>
        <v>3.7499999999999999E-2</v>
      </c>
      <c r="H161">
        <f t="shared" si="12"/>
        <v>15.899999999999997</v>
      </c>
      <c r="I161" s="13">
        <f t="shared" si="10"/>
        <v>0.36</v>
      </c>
      <c r="J161" s="13">
        <v>0.17</v>
      </c>
      <c r="K161" s="14">
        <f t="shared" si="8"/>
        <v>0.06</v>
      </c>
    </row>
    <row r="162" spans="1:11">
      <c r="A162">
        <f t="shared" si="11"/>
        <v>15.999999999999996</v>
      </c>
      <c r="B162" s="13">
        <v>0.215</v>
      </c>
      <c r="C162" s="13">
        <v>0.19500000000000001</v>
      </c>
      <c r="D162" s="13">
        <v>0.17</v>
      </c>
      <c r="E162" s="14">
        <v>0.04</v>
      </c>
      <c r="H162">
        <f t="shared" si="12"/>
        <v>15.999999999999996</v>
      </c>
      <c r="I162" s="13">
        <f t="shared" si="10"/>
        <v>0.36</v>
      </c>
      <c r="J162" s="13">
        <v>0.17</v>
      </c>
      <c r="K162" s="14">
        <v>6.25E-2</v>
      </c>
    </row>
    <row r="163" spans="1:11">
      <c r="A163">
        <f t="shared" si="11"/>
        <v>16.099999999999998</v>
      </c>
      <c r="B163" s="13">
        <v>0.215</v>
      </c>
      <c r="C163" s="13">
        <v>0.19500000000000001</v>
      </c>
      <c r="D163" s="13">
        <v>0.17</v>
      </c>
      <c r="E163" s="14">
        <f t="shared" si="9"/>
        <v>0.04</v>
      </c>
      <c r="H163">
        <f t="shared" si="12"/>
        <v>16.099999999999998</v>
      </c>
      <c r="I163" s="13">
        <f t="shared" si="10"/>
        <v>0.36</v>
      </c>
      <c r="J163" s="13">
        <v>0.17</v>
      </c>
      <c r="K163" s="14">
        <f t="shared" si="8"/>
        <v>6.25E-2</v>
      </c>
    </row>
    <row r="164" spans="1:11">
      <c r="A164">
        <f t="shared" si="11"/>
        <v>16.2</v>
      </c>
      <c r="B164" s="13">
        <v>0.215</v>
      </c>
      <c r="C164" s="13">
        <v>0.19500000000000001</v>
      </c>
      <c r="D164" s="13">
        <v>0.17</v>
      </c>
      <c r="E164" s="14">
        <f t="shared" si="9"/>
        <v>0.04</v>
      </c>
      <c r="H164">
        <f t="shared" si="12"/>
        <v>16.2</v>
      </c>
      <c r="I164" s="13">
        <f t="shared" si="10"/>
        <v>0.36</v>
      </c>
      <c r="J164" s="13">
        <v>0.17</v>
      </c>
      <c r="K164" s="14">
        <f t="shared" si="8"/>
        <v>6.25E-2</v>
      </c>
    </row>
    <row r="165" spans="1:11">
      <c r="A165">
        <f t="shared" si="11"/>
        <v>16.3</v>
      </c>
      <c r="B165" s="13">
        <v>0.215</v>
      </c>
      <c r="C165" s="13">
        <v>0.19500000000000001</v>
      </c>
      <c r="D165" s="13">
        <v>0.17</v>
      </c>
      <c r="E165" s="14">
        <f t="shared" si="9"/>
        <v>0.04</v>
      </c>
      <c r="H165">
        <f t="shared" si="12"/>
        <v>16.3</v>
      </c>
      <c r="I165" s="13">
        <f t="shared" si="10"/>
        <v>0.36</v>
      </c>
      <c r="J165" s="13">
        <v>0.17</v>
      </c>
      <c r="K165" s="14">
        <f t="shared" si="8"/>
        <v>6.25E-2</v>
      </c>
    </row>
    <row r="166" spans="1:11">
      <c r="A166">
        <f t="shared" si="11"/>
        <v>16.400000000000002</v>
      </c>
      <c r="B166" s="13">
        <v>0.215</v>
      </c>
      <c r="C166" s="13">
        <v>0.19500000000000001</v>
      </c>
      <c r="D166" s="13">
        <v>0.17</v>
      </c>
      <c r="E166" s="14">
        <f t="shared" si="9"/>
        <v>0.04</v>
      </c>
      <c r="H166">
        <f t="shared" si="12"/>
        <v>16.400000000000002</v>
      </c>
      <c r="I166" s="13">
        <f t="shared" si="10"/>
        <v>0.36</v>
      </c>
      <c r="J166" s="13">
        <v>0.17</v>
      </c>
      <c r="K166" s="14">
        <f t="shared" si="8"/>
        <v>6.25E-2</v>
      </c>
    </row>
    <row r="167" spans="1:11">
      <c r="A167">
        <f t="shared" si="11"/>
        <v>16.500000000000004</v>
      </c>
      <c r="B167" s="13">
        <v>0.215</v>
      </c>
      <c r="C167" s="13">
        <v>0.19500000000000001</v>
      </c>
      <c r="D167" s="13">
        <v>0.17</v>
      </c>
      <c r="E167" s="14">
        <v>4.2500000000000003E-2</v>
      </c>
      <c r="H167">
        <f t="shared" si="12"/>
        <v>16.500000000000004</v>
      </c>
      <c r="I167" s="13">
        <f t="shared" si="10"/>
        <v>0.36</v>
      </c>
      <c r="J167" s="13">
        <v>0.17</v>
      </c>
      <c r="K167" s="14">
        <v>6.5000000000000002E-2</v>
      </c>
    </row>
    <row r="168" spans="1:11">
      <c r="A168">
        <f t="shared" si="11"/>
        <v>16.600000000000005</v>
      </c>
      <c r="B168" s="13">
        <v>0.215</v>
      </c>
      <c r="C168" s="13">
        <v>0.19500000000000001</v>
      </c>
      <c r="D168" s="13">
        <v>0.17</v>
      </c>
      <c r="E168" s="14">
        <f t="shared" si="9"/>
        <v>4.2500000000000003E-2</v>
      </c>
      <c r="H168">
        <f t="shared" si="12"/>
        <v>16.600000000000005</v>
      </c>
      <c r="I168" s="13">
        <f t="shared" si="10"/>
        <v>0.36</v>
      </c>
      <c r="J168" s="13">
        <v>0.17</v>
      </c>
      <c r="K168" s="14">
        <f t="shared" si="8"/>
        <v>6.5000000000000002E-2</v>
      </c>
    </row>
    <row r="169" spans="1:11">
      <c r="A169">
        <f t="shared" si="11"/>
        <v>16.700000000000006</v>
      </c>
      <c r="B169" s="13">
        <v>0.215</v>
      </c>
      <c r="C169" s="13">
        <v>0.19500000000000001</v>
      </c>
      <c r="D169" s="13">
        <v>0.17</v>
      </c>
      <c r="E169" s="14">
        <f t="shared" si="9"/>
        <v>4.2500000000000003E-2</v>
      </c>
      <c r="H169">
        <f t="shared" si="12"/>
        <v>16.700000000000006</v>
      </c>
      <c r="I169" s="13">
        <f t="shared" si="10"/>
        <v>0.36</v>
      </c>
      <c r="J169" s="13">
        <v>0.17</v>
      </c>
      <c r="K169" s="14">
        <f t="shared" si="8"/>
        <v>6.5000000000000002E-2</v>
      </c>
    </row>
    <row r="170" spans="1:11">
      <c r="A170">
        <f t="shared" si="11"/>
        <v>16.800000000000008</v>
      </c>
      <c r="B170" s="13">
        <v>0.215</v>
      </c>
      <c r="C170" s="13">
        <v>0.19500000000000001</v>
      </c>
      <c r="D170" s="13">
        <v>0.17</v>
      </c>
      <c r="E170" s="14">
        <f t="shared" si="9"/>
        <v>4.2500000000000003E-2</v>
      </c>
      <c r="H170">
        <f t="shared" si="12"/>
        <v>16.800000000000008</v>
      </c>
      <c r="I170" s="13">
        <f t="shared" si="10"/>
        <v>0.36</v>
      </c>
      <c r="J170" s="13">
        <v>0.17</v>
      </c>
      <c r="K170" s="14">
        <f t="shared" si="8"/>
        <v>6.5000000000000002E-2</v>
      </c>
    </row>
    <row r="171" spans="1:11">
      <c r="A171">
        <f t="shared" si="11"/>
        <v>16.900000000000009</v>
      </c>
      <c r="B171" s="13">
        <v>0.215</v>
      </c>
      <c r="C171" s="13">
        <v>0.19500000000000001</v>
      </c>
      <c r="D171" s="13">
        <v>0.17</v>
      </c>
      <c r="E171" s="14">
        <f t="shared" si="9"/>
        <v>4.2500000000000003E-2</v>
      </c>
      <c r="H171">
        <f t="shared" si="12"/>
        <v>16.900000000000009</v>
      </c>
      <c r="I171" s="13">
        <f t="shared" si="10"/>
        <v>0.36</v>
      </c>
      <c r="J171" s="13">
        <v>0.17</v>
      </c>
      <c r="K171" s="14">
        <f t="shared" si="8"/>
        <v>6.5000000000000002E-2</v>
      </c>
    </row>
    <row r="172" spans="1:11">
      <c r="A172">
        <f t="shared" si="11"/>
        <v>17.000000000000011</v>
      </c>
      <c r="B172" s="13">
        <v>0.215</v>
      </c>
      <c r="C172" s="13">
        <v>0.19500000000000001</v>
      </c>
      <c r="D172" s="13">
        <v>0.17</v>
      </c>
      <c r="E172" s="14">
        <v>4.4999999999999998E-2</v>
      </c>
      <c r="H172">
        <f t="shared" si="12"/>
        <v>17.000000000000011</v>
      </c>
      <c r="I172" s="13">
        <f t="shared" si="10"/>
        <v>0.36</v>
      </c>
      <c r="J172" s="13">
        <v>0.17</v>
      </c>
      <c r="K172" s="14">
        <v>6.7500000000000004E-2</v>
      </c>
    </row>
    <row r="173" spans="1:11">
      <c r="A173">
        <f t="shared" si="11"/>
        <v>17.100000000000012</v>
      </c>
      <c r="B173" s="13">
        <v>0.215</v>
      </c>
      <c r="C173" s="13">
        <v>0.19500000000000001</v>
      </c>
      <c r="D173" s="13">
        <v>0.17</v>
      </c>
      <c r="E173" s="14">
        <f t="shared" si="9"/>
        <v>4.4999999999999998E-2</v>
      </c>
      <c r="H173">
        <f t="shared" si="12"/>
        <v>17.100000000000012</v>
      </c>
      <c r="I173" s="13">
        <f t="shared" si="10"/>
        <v>0.36</v>
      </c>
      <c r="J173" s="13">
        <v>0.17</v>
      </c>
      <c r="K173" s="14">
        <f t="shared" si="8"/>
        <v>6.7500000000000004E-2</v>
      </c>
    </row>
    <row r="174" spans="1:11">
      <c r="A174">
        <f t="shared" si="11"/>
        <v>17.200000000000014</v>
      </c>
      <c r="B174" s="13">
        <v>0.215</v>
      </c>
      <c r="C174" s="13">
        <v>0.19500000000000001</v>
      </c>
      <c r="D174" s="13">
        <v>0.17</v>
      </c>
      <c r="E174" s="14">
        <f t="shared" si="9"/>
        <v>4.4999999999999998E-2</v>
      </c>
      <c r="H174">
        <f t="shared" si="12"/>
        <v>17.200000000000014</v>
      </c>
      <c r="I174" s="13">
        <f t="shared" si="10"/>
        <v>0.36</v>
      </c>
      <c r="J174" s="13">
        <v>0.17</v>
      </c>
      <c r="K174" s="14">
        <f t="shared" si="8"/>
        <v>6.7500000000000004E-2</v>
      </c>
    </row>
    <row r="175" spans="1:11">
      <c r="A175">
        <f t="shared" si="11"/>
        <v>17.300000000000015</v>
      </c>
      <c r="B175" s="13">
        <v>0.215</v>
      </c>
      <c r="C175" s="13">
        <v>0.19500000000000001</v>
      </c>
      <c r="D175" s="13">
        <v>0.17</v>
      </c>
      <c r="E175" s="14">
        <f t="shared" si="9"/>
        <v>4.4999999999999998E-2</v>
      </c>
      <c r="H175">
        <f t="shared" si="12"/>
        <v>17.300000000000015</v>
      </c>
      <c r="I175" s="13">
        <f t="shared" si="10"/>
        <v>0.36</v>
      </c>
      <c r="J175" s="13">
        <v>0.17</v>
      </c>
      <c r="K175" s="14">
        <f t="shared" si="8"/>
        <v>6.7500000000000004E-2</v>
      </c>
    </row>
    <row r="176" spans="1:11">
      <c r="A176">
        <f t="shared" si="11"/>
        <v>17.400000000000016</v>
      </c>
      <c r="B176" s="13">
        <v>0.215</v>
      </c>
      <c r="C176" s="13">
        <v>0.19500000000000001</v>
      </c>
      <c r="D176" s="13">
        <v>0.17</v>
      </c>
      <c r="E176" s="14">
        <f t="shared" si="9"/>
        <v>4.4999999999999998E-2</v>
      </c>
      <c r="H176">
        <f t="shared" si="12"/>
        <v>17.400000000000016</v>
      </c>
      <c r="I176" s="13">
        <f t="shared" si="10"/>
        <v>0.36</v>
      </c>
      <c r="J176" s="13">
        <v>0.17</v>
      </c>
      <c r="K176" s="14">
        <f t="shared" si="8"/>
        <v>6.7500000000000004E-2</v>
      </c>
    </row>
    <row r="177" spans="1:11">
      <c r="A177">
        <f t="shared" si="11"/>
        <v>17.500000000000018</v>
      </c>
      <c r="B177" s="13">
        <v>0.215</v>
      </c>
      <c r="C177" s="13">
        <v>0.19500000000000001</v>
      </c>
      <c r="D177" s="13">
        <v>0.17</v>
      </c>
      <c r="E177" s="14">
        <v>4.7500000000000001E-2</v>
      </c>
      <c r="H177">
        <f t="shared" si="12"/>
        <v>17.500000000000018</v>
      </c>
      <c r="I177" s="13">
        <f t="shared" si="10"/>
        <v>0.36</v>
      </c>
      <c r="J177" s="13">
        <v>0.17</v>
      </c>
      <c r="K177" s="14">
        <v>7.0000000000000007E-2</v>
      </c>
    </row>
    <row r="178" spans="1:11">
      <c r="A178">
        <f t="shared" si="11"/>
        <v>17.600000000000019</v>
      </c>
      <c r="B178" s="13">
        <v>0.215</v>
      </c>
      <c r="C178" s="13">
        <v>0.19500000000000001</v>
      </c>
      <c r="D178" s="13">
        <v>0.17</v>
      </c>
      <c r="E178" s="14">
        <f t="shared" si="9"/>
        <v>4.7500000000000001E-2</v>
      </c>
      <c r="H178">
        <f t="shared" si="12"/>
        <v>17.600000000000019</v>
      </c>
      <c r="I178" s="13">
        <f t="shared" si="10"/>
        <v>0.36</v>
      </c>
      <c r="J178" s="13">
        <v>0.17</v>
      </c>
      <c r="K178" s="14">
        <f t="shared" si="8"/>
        <v>7.0000000000000007E-2</v>
      </c>
    </row>
    <row r="179" spans="1:11">
      <c r="A179">
        <f t="shared" si="11"/>
        <v>17.700000000000021</v>
      </c>
      <c r="B179" s="13">
        <v>0.215</v>
      </c>
      <c r="C179" s="13">
        <v>0.19500000000000001</v>
      </c>
      <c r="D179" s="13">
        <v>0.17</v>
      </c>
      <c r="E179" s="14">
        <f t="shared" si="9"/>
        <v>4.7500000000000001E-2</v>
      </c>
      <c r="H179">
        <f t="shared" si="12"/>
        <v>17.700000000000021</v>
      </c>
      <c r="I179" s="13">
        <f t="shared" si="10"/>
        <v>0.36</v>
      </c>
      <c r="J179" s="13">
        <v>0.17</v>
      </c>
      <c r="K179" s="14">
        <f t="shared" si="8"/>
        <v>7.0000000000000007E-2</v>
      </c>
    </row>
    <row r="180" spans="1:11">
      <c r="A180">
        <f t="shared" si="11"/>
        <v>17.800000000000022</v>
      </c>
      <c r="B180" s="13">
        <v>0.215</v>
      </c>
      <c r="C180" s="13">
        <v>0.19500000000000001</v>
      </c>
      <c r="D180" s="13">
        <v>0.17</v>
      </c>
      <c r="E180" s="14">
        <f t="shared" si="9"/>
        <v>4.7500000000000001E-2</v>
      </c>
      <c r="H180">
        <f t="shared" si="12"/>
        <v>17.800000000000022</v>
      </c>
      <c r="I180" s="13">
        <f t="shared" si="10"/>
        <v>0.36</v>
      </c>
      <c r="J180" s="13">
        <v>0.17</v>
      </c>
      <c r="K180" s="14">
        <f t="shared" si="8"/>
        <v>7.0000000000000007E-2</v>
      </c>
    </row>
    <row r="181" spans="1:11">
      <c r="A181">
        <f t="shared" si="11"/>
        <v>17.900000000000023</v>
      </c>
      <c r="B181" s="13">
        <v>0.215</v>
      </c>
      <c r="C181" s="13">
        <v>0.19500000000000001</v>
      </c>
      <c r="D181" s="13">
        <v>0.17</v>
      </c>
      <c r="E181" s="14">
        <f t="shared" si="9"/>
        <v>4.7500000000000001E-2</v>
      </c>
      <c r="H181">
        <f t="shared" si="12"/>
        <v>17.900000000000023</v>
      </c>
      <c r="I181" s="13">
        <f t="shared" si="10"/>
        <v>0.36</v>
      </c>
      <c r="J181" s="13">
        <v>0.17</v>
      </c>
      <c r="K181" s="14">
        <f t="shared" si="8"/>
        <v>7.0000000000000007E-2</v>
      </c>
    </row>
    <row r="182" spans="1:11">
      <c r="A182">
        <f t="shared" si="11"/>
        <v>18.000000000000025</v>
      </c>
      <c r="B182" s="13">
        <v>0.215</v>
      </c>
      <c r="C182" s="13">
        <v>0.19500000000000001</v>
      </c>
      <c r="D182" s="13">
        <v>0.17</v>
      </c>
      <c r="E182" s="14">
        <v>0.05</v>
      </c>
      <c r="H182">
        <f t="shared" si="12"/>
        <v>18.000000000000025</v>
      </c>
      <c r="I182" s="13">
        <f t="shared" si="10"/>
        <v>0.36</v>
      </c>
      <c r="J182" s="13">
        <v>0.17</v>
      </c>
      <c r="K182" s="14">
        <v>7.2499999999999995E-2</v>
      </c>
    </row>
    <row r="183" spans="1:11">
      <c r="A183">
        <f t="shared" si="11"/>
        <v>18.100000000000026</v>
      </c>
      <c r="B183" s="13">
        <v>0.215</v>
      </c>
      <c r="C183" s="13">
        <v>0.19500000000000001</v>
      </c>
      <c r="D183" s="13">
        <v>0.17</v>
      </c>
      <c r="E183" s="14">
        <f t="shared" si="9"/>
        <v>0.05</v>
      </c>
      <c r="H183">
        <f t="shared" si="12"/>
        <v>18.100000000000026</v>
      </c>
      <c r="I183" s="13">
        <f t="shared" si="10"/>
        <v>0.36</v>
      </c>
      <c r="J183" s="13">
        <v>0.17</v>
      </c>
      <c r="K183" s="14">
        <f t="shared" si="8"/>
        <v>7.2499999999999995E-2</v>
      </c>
    </row>
    <row r="184" spans="1:11">
      <c r="A184">
        <f t="shared" si="11"/>
        <v>18.200000000000028</v>
      </c>
      <c r="B184" s="13">
        <v>0.215</v>
      </c>
      <c r="C184" s="13">
        <v>0.19500000000000001</v>
      </c>
      <c r="D184" s="13">
        <v>0.17</v>
      </c>
      <c r="E184" s="14">
        <f t="shared" si="9"/>
        <v>0.05</v>
      </c>
      <c r="H184">
        <f t="shared" si="12"/>
        <v>18.200000000000028</v>
      </c>
      <c r="I184" s="13">
        <f t="shared" si="10"/>
        <v>0.36</v>
      </c>
      <c r="J184" s="13">
        <v>0.17</v>
      </c>
      <c r="K184" s="14">
        <f t="shared" si="8"/>
        <v>7.2499999999999995E-2</v>
      </c>
    </row>
    <row r="185" spans="1:11">
      <c r="A185">
        <f t="shared" si="11"/>
        <v>18.300000000000029</v>
      </c>
      <c r="B185" s="13">
        <v>0.215</v>
      </c>
      <c r="C185" s="13">
        <v>0.19500000000000001</v>
      </c>
      <c r="D185" s="13">
        <v>0.17</v>
      </c>
      <c r="E185" s="14">
        <f t="shared" si="9"/>
        <v>0.05</v>
      </c>
      <c r="H185">
        <f t="shared" si="12"/>
        <v>18.300000000000029</v>
      </c>
      <c r="I185" s="13">
        <f t="shared" si="10"/>
        <v>0.36</v>
      </c>
      <c r="J185" s="13">
        <v>0.17</v>
      </c>
      <c r="K185" s="14">
        <f t="shared" si="8"/>
        <v>7.2499999999999995E-2</v>
      </c>
    </row>
    <row r="186" spans="1:11">
      <c r="A186">
        <f t="shared" si="11"/>
        <v>18.400000000000031</v>
      </c>
      <c r="B186" s="13">
        <v>0.215</v>
      </c>
      <c r="C186" s="13">
        <v>0.19500000000000001</v>
      </c>
      <c r="D186" s="13">
        <v>0.17</v>
      </c>
      <c r="E186" s="14">
        <f t="shared" si="9"/>
        <v>0.05</v>
      </c>
      <c r="H186">
        <f t="shared" si="12"/>
        <v>18.400000000000031</v>
      </c>
      <c r="I186" s="13">
        <f t="shared" si="10"/>
        <v>0.36</v>
      </c>
      <c r="J186" s="13">
        <v>0.17</v>
      </c>
      <c r="K186" s="14">
        <f t="shared" si="8"/>
        <v>7.2499999999999995E-2</v>
      </c>
    </row>
    <row r="187" spans="1:11">
      <c r="A187">
        <f t="shared" si="11"/>
        <v>18.500000000000032</v>
      </c>
      <c r="B187" s="13">
        <v>0.215</v>
      </c>
      <c r="C187" s="13">
        <v>0.19500000000000001</v>
      </c>
      <c r="D187" s="13">
        <v>0.17</v>
      </c>
      <c r="E187" s="14">
        <f t="shared" si="9"/>
        <v>0.05</v>
      </c>
      <c r="H187">
        <f t="shared" si="12"/>
        <v>18.500000000000032</v>
      </c>
      <c r="I187" s="13">
        <f t="shared" si="10"/>
        <v>0.36</v>
      </c>
      <c r="J187" s="13">
        <v>0.17</v>
      </c>
      <c r="K187" s="14">
        <v>7.4999999999999997E-2</v>
      </c>
    </row>
    <row r="188" spans="1:11">
      <c r="A188">
        <f t="shared" si="11"/>
        <v>18.600000000000033</v>
      </c>
      <c r="B188" s="13">
        <v>0.215</v>
      </c>
      <c r="C188" s="13">
        <v>0.19500000000000001</v>
      </c>
      <c r="D188" s="13">
        <v>0.17</v>
      </c>
      <c r="E188" s="14">
        <f t="shared" si="9"/>
        <v>0.05</v>
      </c>
      <c r="H188">
        <f t="shared" si="12"/>
        <v>18.600000000000033</v>
      </c>
      <c r="I188" s="13">
        <f t="shared" si="10"/>
        <v>0.36</v>
      </c>
      <c r="J188" s="13">
        <v>0.17</v>
      </c>
      <c r="K188" s="14">
        <f t="shared" si="8"/>
        <v>7.4999999999999997E-2</v>
      </c>
    </row>
    <row r="189" spans="1:11">
      <c r="A189">
        <f t="shared" si="11"/>
        <v>18.700000000000035</v>
      </c>
      <c r="B189" s="13">
        <v>0.215</v>
      </c>
      <c r="C189" s="13">
        <v>0.19500000000000001</v>
      </c>
      <c r="D189" s="13">
        <v>0.17</v>
      </c>
      <c r="E189" s="14">
        <f t="shared" si="9"/>
        <v>0.05</v>
      </c>
      <c r="H189">
        <f t="shared" si="12"/>
        <v>18.700000000000035</v>
      </c>
      <c r="I189" s="13">
        <f t="shared" si="10"/>
        <v>0.36</v>
      </c>
      <c r="J189" s="13">
        <v>0.17</v>
      </c>
      <c r="K189" s="14">
        <f t="shared" si="8"/>
        <v>7.4999999999999997E-2</v>
      </c>
    </row>
    <row r="190" spans="1:11">
      <c r="A190">
        <f t="shared" si="11"/>
        <v>18.800000000000036</v>
      </c>
      <c r="B190" s="13">
        <v>0.215</v>
      </c>
      <c r="C190" s="13">
        <v>0.19500000000000001</v>
      </c>
      <c r="D190" s="13">
        <v>0.17</v>
      </c>
      <c r="E190" s="14">
        <f t="shared" si="9"/>
        <v>0.05</v>
      </c>
      <c r="H190">
        <f t="shared" si="12"/>
        <v>18.800000000000036</v>
      </c>
      <c r="I190" s="13">
        <f t="shared" si="10"/>
        <v>0.36</v>
      </c>
      <c r="J190" s="13">
        <v>0.17</v>
      </c>
      <c r="K190" s="14">
        <f t="shared" si="8"/>
        <v>7.4999999999999997E-2</v>
      </c>
    </row>
    <row r="191" spans="1:11">
      <c r="A191">
        <f t="shared" si="11"/>
        <v>18.900000000000038</v>
      </c>
      <c r="B191" s="13">
        <v>0.215</v>
      </c>
      <c r="C191" s="13">
        <v>0.19500000000000001</v>
      </c>
      <c r="D191" s="13">
        <v>0.17</v>
      </c>
      <c r="E191" s="14">
        <f t="shared" si="9"/>
        <v>0.05</v>
      </c>
      <c r="H191">
        <f t="shared" si="12"/>
        <v>18.900000000000038</v>
      </c>
      <c r="I191" s="13">
        <f t="shared" si="10"/>
        <v>0.36</v>
      </c>
      <c r="J191" s="13">
        <v>0.17</v>
      </c>
      <c r="K191" s="14">
        <f t="shared" si="8"/>
        <v>7.4999999999999997E-2</v>
      </c>
    </row>
    <row r="192" spans="1:11">
      <c r="A192">
        <f t="shared" si="11"/>
        <v>19.000000000000039</v>
      </c>
      <c r="B192" s="13">
        <v>0.215</v>
      </c>
      <c r="C192" s="13">
        <v>0.19500000000000001</v>
      </c>
      <c r="D192" s="13">
        <v>0.17</v>
      </c>
      <c r="E192" s="14">
        <f t="shared" si="9"/>
        <v>0.05</v>
      </c>
      <c r="H192">
        <f t="shared" si="12"/>
        <v>19.000000000000039</v>
      </c>
      <c r="I192" s="13">
        <f t="shared" si="10"/>
        <v>0.36</v>
      </c>
      <c r="J192" s="13">
        <v>0.17</v>
      </c>
      <c r="K192" s="14">
        <v>7.7499999999999999E-2</v>
      </c>
    </row>
    <row r="193" spans="1:11">
      <c r="A193">
        <f t="shared" si="11"/>
        <v>19.100000000000041</v>
      </c>
      <c r="B193" s="13">
        <v>0.215</v>
      </c>
      <c r="C193" s="13">
        <v>0.19500000000000001</v>
      </c>
      <c r="D193" s="13">
        <v>0.17</v>
      </c>
      <c r="E193" s="14">
        <f t="shared" si="9"/>
        <v>0.05</v>
      </c>
      <c r="H193">
        <f t="shared" si="12"/>
        <v>19.100000000000041</v>
      </c>
      <c r="I193" s="13">
        <f t="shared" si="10"/>
        <v>0.36</v>
      </c>
      <c r="J193" s="13">
        <v>0.17</v>
      </c>
      <c r="K193" s="14">
        <f t="shared" si="8"/>
        <v>7.7499999999999999E-2</v>
      </c>
    </row>
    <row r="194" spans="1:11">
      <c r="A194">
        <f t="shared" si="11"/>
        <v>19.200000000000042</v>
      </c>
      <c r="B194" s="13">
        <v>0.215</v>
      </c>
      <c r="C194" s="13">
        <v>0.19500000000000001</v>
      </c>
      <c r="D194" s="13">
        <v>0.17</v>
      </c>
      <c r="E194" s="14">
        <f t="shared" si="9"/>
        <v>0.05</v>
      </c>
      <c r="H194">
        <f t="shared" si="12"/>
        <v>19.200000000000042</v>
      </c>
      <c r="I194" s="13">
        <f t="shared" si="10"/>
        <v>0.36</v>
      </c>
      <c r="J194" s="13">
        <v>0.17</v>
      </c>
      <c r="K194" s="14">
        <f t="shared" si="8"/>
        <v>7.7499999999999999E-2</v>
      </c>
    </row>
    <row r="195" spans="1:11">
      <c r="A195">
        <f t="shared" si="11"/>
        <v>19.300000000000043</v>
      </c>
      <c r="B195" s="13">
        <v>0.215</v>
      </c>
      <c r="C195" s="13">
        <v>0.19500000000000001</v>
      </c>
      <c r="D195" s="13">
        <v>0.17</v>
      </c>
      <c r="E195" s="14">
        <f t="shared" si="9"/>
        <v>0.05</v>
      </c>
      <c r="H195">
        <f t="shared" si="12"/>
        <v>19.300000000000043</v>
      </c>
      <c r="I195" s="13">
        <f t="shared" si="10"/>
        <v>0.36</v>
      </c>
      <c r="J195" s="13">
        <v>0.17</v>
      </c>
      <c r="K195" s="14">
        <f t="shared" si="8"/>
        <v>7.7499999999999999E-2</v>
      </c>
    </row>
    <row r="196" spans="1:11">
      <c r="A196">
        <f t="shared" si="11"/>
        <v>19.400000000000045</v>
      </c>
      <c r="B196" s="13">
        <v>0.215</v>
      </c>
      <c r="C196" s="13">
        <v>0.19500000000000001</v>
      </c>
      <c r="D196" s="13">
        <v>0.17</v>
      </c>
      <c r="E196" s="14">
        <f t="shared" ref="E196:E224" si="13">+E195</f>
        <v>0.05</v>
      </c>
      <c r="H196">
        <f t="shared" si="12"/>
        <v>19.400000000000045</v>
      </c>
      <c r="I196" s="13">
        <f t="shared" si="10"/>
        <v>0.36</v>
      </c>
      <c r="J196" s="13">
        <v>0.17</v>
      </c>
      <c r="K196" s="14">
        <f t="shared" ref="K196:K218" si="14">+K195</f>
        <v>7.7499999999999999E-2</v>
      </c>
    </row>
    <row r="197" spans="1:11">
      <c r="A197">
        <f t="shared" si="11"/>
        <v>19.500000000000046</v>
      </c>
      <c r="B197" s="13">
        <v>0.215</v>
      </c>
      <c r="C197" s="13">
        <v>0.19500000000000001</v>
      </c>
      <c r="D197" s="13">
        <v>0.17</v>
      </c>
      <c r="E197" s="14">
        <f t="shared" si="13"/>
        <v>0.05</v>
      </c>
      <c r="H197">
        <f t="shared" si="12"/>
        <v>19.500000000000046</v>
      </c>
      <c r="I197" s="13">
        <f t="shared" si="10"/>
        <v>0.36</v>
      </c>
      <c r="J197" s="13">
        <v>0.17</v>
      </c>
      <c r="K197" s="14">
        <v>0.08</v>
      </c>
    </row>
    <row r="198" spans="1:11">
      <c r="A198">
        <f t="shared" si="11"/>
        <v>19.600000000000048</v>
      </c>
      <c r="B198" s="13">
        <v>0.215</v>
      </c>
      <c r="C198" s="13">
        <v>0.19500000000000001</v>
      </c>
      <c r="D198" s="13">
        <v>0.17</v>
      </c>
      <c r="E198" s="14">
        <f t="shared" si="13"/>
        <v>0.05</v>
      </c>
      <c r="H198">
        <f t="shared" si="12"/>
        <v>19.600000000000048</v>
      </c>
      <c r="I198" s="13">
        <f t="shared" si="10"/>
        <v>0.36</v>
      </c>
      <c r="J198" s="13">
        <v>0.17</v>
      </c>
      <c r="K198" s="14">
        <f t="shared" si="14"/>
        <v>0.08</v>
      </c>
    </row>
    <row r="199" spans="1:11">
      <c r="A199">
        <f t="shared" si="11"/>
        <v>19.700000000000049</v>
      </c>
      <c r="B199" s="13">
        <v>0.215</v>
      </c>
      <c r="C199" s="13">
        <v>0.19500000000000001</v>
      </c>
      <c r="D199" s="13">
        <v>0.17</v>
      </c>
      <c r="E199" s="14">
        <f t="shared" si="13"/>
        <v>0.05</v>
      </c>
      <c r="H199">
        <f t="shared" si="12"/>
        <v>19.700000000000049</v>
      </c>
      <c r="I199" s="13">
        <f t="shared" si="10"/>
        <v>0.36</v>
      </c>
      <c r="J199" s="13">
        <v>0.17</v>
      </c>
      <c r="K199" s="14">
        <f t="shared" si="14"/>
        <v>0.08</v>
      </c>
    </row>
    <row r="200" spans="1:11">
      <c r="A200">
        <f t="shared" si="11"/>
        <v>19.80000000000005</v>
      </c>
      <c r="B200" s="13">
        <v>0.215</v>
      </c>
      <c r="C200" s="13">
        <v>0.19500000000000001</v>
      </c>
      <c r="D200" s="13">
        <v>0.17</v>
      </c>
      <c r="E200" s="14">
        <f t="shared" si="13"/>
        <v>0.05</v>
      </c>
      <c r="H200">
        <f t="shared" si="12"/>
        <v>19.80000000000005</v>
      </c>
      <c r="I200" s="13">
        <f t="shared" si="10"/>
        <v>0.36</v>
      </c>
      <c r="J200" s="13">
        <v>0.17</v>
      </c>
      <c r="K200" s="14">
        <f t="shared" si="14"/>
        <v>0.08</v>
      </c>
    </row>
    <row r="201" spans="1:11">
      <c r="A201">
        <f t="shared" si="11"/>
        <v>19.900000000000052</v>
      </c>
      <c r="B201" s="13">
        <v>0.215</v>
      </c>
      <c r="C201" s="13">
        <v>0.19500000000000001</v>
      </c>
      <c r="D201" s="13">
        <v>0.17</v>
      </c>
      <c r="E201" s="14">
        <f t="shared" si="13"/>
        <v>0.05</v>
      </c>
      <c r="H201">
        <f t="shared" si="12"/>
        <v>19.900000000000052</v>
      </c>
      <c r="I201" s="13">
        <f t="shared" si="10"/>
        <v>0.36</v>
      </c>
      <c r="J201" s="13">
        <v>0.17</v>
      </c>
      <c r="K201" s="14">
        <f t="shared" si="14"/>
        <v>0.08</v>
      </c>
    </row>
    <row r="202" spans="1:11">
      <c r="A202">
        <f t="shared" si="11"/>
        <v>20.000000000000053</v>
      </c>
      <c r="B202" s="13">
        <v>0.215</v>
      </c>
      <c r="C202" s="13">
        <v>0.19500000000000001</v>
      </c>
      <c r="D202" s="13">
        <v>0.17</v>
      </c>
      <c r="E202" s="14">
        <f t="shared" si="13"/>
        <v>0.05</v>
      </c>
      <c r="H202">
        <f t="shared" si="12"/>
        <v>20.000000000000053</v>
      </c>
      <c r="I202" s="13">
        <f t="shared" si="10"/>
        <v>0.36</v>
      </c>
      <c r="J202" s="13">
        <v>0.17</v>
      </c>
      <c r="K202" s="14">
        <v>8.2500000000000004E-2</v>
      </c>
    </row>
    <row r="203" spans="1:11">
      <c r="A203">
        <f t="shared" si="11"/>
        <v>20.100000000000055</v>
      </c>
      <c r="E203" s="14">
        <f t="shared" si="13"/>
        <v>0.05</v>
      </c>
      <c r="H203">
        <f t="shared" si="12"/>
        <v>20.100000000000055</v>
      </c>
      <c r="K203" s="14">
        <f t="shared" si="14"/>
        <v>8.2500000000000004E-2</v>
      </c>
    </row>
    <row r="204" spans="1:11">
      <c r="A204">
        <f t="shared" si="11"/>
        <v>20.200000000000056</v>
      </c>
      <c r="E204" s="14">
        <f t="shared" si="13"/>
        <v>0.05</v>
      </c>
      <c r="H204">
        <f t="shared" si="12"/>
        <v>20.200000000000056</v>
      </c>
      <c r="K204" s="14">
        <f t="shared" si="14"/>
        <v>8.2500000000000004E-2</v>
      </c>
    </row>
    <row r="205" spans="1:11">
      <c r="A205">
        <f t="shared" si="11"/>
        <v>20.300000000000058</v>
      </c>
      <c r="E205" s="14">
        <f t="shared" si="13"/>
        <v>0.05</v>
      </c>
      <c r="H205">
        <f t="shared" si="12"/>
        <v>20.300000000000058</v>
      </c>
      <c r="K205" s="14">
        <f t="shared" si="14"/>
        <v>8.2500000000000004E-2</v>
      </c>
    </row>
    <row r="206" spans="1:11">
      <c r="A206">
        <f t="shared" si="11"/>
        <v>20.400000000000059</v>
      </c>
      <c r="E206" s="14">
        <f t="shared" si="13"/>
        <v>0.05</v>
      </c>
      <c r="H206">
        <f t="shared" si="12"/>
        <v>20.400000000000059</v>
      </c>
      <c r="K206" s="14">
        <f t="shared" si="14"/>
        <v>8.2500000000000004E-2</v>
      </c>
    </row>
    <row r="207" spans="1:11">
      <c r="A207">
        <f t="shared" si="11"/>
        <v>20.50000000000006</v>
      </c>
      <c r="E207" s="14">
        <f t="shared" si="13"/>
        <v>0.05</v>
      </c>
      <c r="H207">
        <f t="shared" si="12"/>
        <v>20.50000000000006</v>
      </c>
      <c r="K207" s="14">
        <v>8.5000000000000006E-2</v>
      </c>
    </row>
    <row r="208" spans="1:11">
      <c r="A208">
        <f t="shared" si="11"/>
        <v>20.600000000000062</v>
      </c>
      <c r="E208" s="14">
        <f t="shared" si="13"/>
        <v>0.05</v>
      </c>
      <c r="H208">
        <f t="shared" si="12"/>
        <v>20.600000000000062</v>
      </c>
      <c r="K208" s="14">
        <f t="shared" si="14"/>
        <v>8.5000000000000006E-2</v>
      </c>
    </row>
    <row r="209" spans="1:11">
      <c r="A209">
        <f t="shared" si="11"/>
        <v>20.700000000000063</v>
      </c>
      <c r="E209" s="14">
        <f t="shared" si="13"/>
        <v>0.05</v>
      </c>
      <c r="H209">
        <f t="shared" si="12"/>
        <v>20.700000000000063</v>
      </c>
      <c r="K209" s="14">
        <f t="shared" si="14"/>
        <v>8.5000000000000006E-2</v>
      </c>
    </row>
    <row r="210" spans="1:11">
      <c r="A210">
        <f t="shared" si="11"/>
        <v>20.800000000000065</v>
      </c>
      <c r="E210" s="14">
        <f t="shared" si="13"/>
        <v>0.05</v>
      </c>
      <c r="H210">
        <f t="shared" si="12"/>
        <v>20.800000000000065</v>
      </c>
      <c r="K210" s="14">
        <f t="shared" si="14"/>
        <v>8.5000000000000006E-2</v>
      </c>
    </row>
    <row r="211" spans="1:11">
      <c r="A211">
        <f t="shared" si="11"/>
        <v>20.900000000000066</v>
      </c>
      <c r="E211" s="14">
        <f t="shared" si="13"/>
        <v>0.05</v>
      </c>
      <c r="H211">
        <f t="shared" si="12"/>
        <v>20.900000000000066</v>
      </c>
      <c r="K211" s="14">
        <f t="shared" si="14"/>
        <v>8.5000000000000006E-2</v>
      </c>
    </row>
    <row r="212" spans="1:11">
      <c r="A212">
        <f t="shared" si="11"/>
        <v>21.000000000000068</v>
      </c>
      <c r="E212" s="14">
        <f t="shared" si="13"/>
        <v>0.05</v>
      </c>
      <c r="H212">
        <f t="shared" si="12"/>
        <v>21.000000000000068</v>
      </c>
      <c r="K212" s="14">
        <v>8.7499999999999994E-2</v>
      </c>
    </row>
    <row r="213" spans="1:11">
      <c r="A213">
        <f t="shared" si="11"/>
        <v>21.100000000000069</v>
      </c>
      <c r="E213" s="14">
        <f t="shared" si="13"/>
        <v>0.05</v>
      </c>
      <c r="H213">
        <f t="shared" si="12"/>
        <v>21.100000000000069</v>
      </c>
      <c r="K213" s="14">
        <f t="shared" si="14"/>
        <v>8.7499999999999994E-2</v>
      </c>
    </row>
    <row r="214" spans="1:11">
      <c r="A214">
        <f t="shared" si="11"/>
        <v>21.20000000000007</v>
      </c>
      <c r="E214" s="14">
        <f t="shared" si="13"/>
        <v>0.05</v>
      </c>
      <c r="H214">
        <f t="shared" si="12"/>
        <v>21.20000000000007</v>
      </c>
      <c r="K214" s="14">
        <f t="shared" si="14"/>
        <v>8.7499999999999994E-2</v>
      </c>
    </row>
    <row r="215" spans="1:11">
      <c r="A215">
        <f t="shared" si="11"/>
        <v>21.300000000000072</v>
      </c>
      <c r="E215" s="14">
        <f t="shared" si="13"/>
        <v>0.05</v>
      </c>
      <c r="H215">
        <f t="shared" si="12"/>
        <v>21.300000000000072</v>
      </c>
      <c r="K215" s="14">
        <f t="shared" si="14"/>
        <v>8.7499999999999994E-2</v>
      </c>
    </row>
    <row r="216" spans="1:11">
      <c r="A216">
        <f t="shared" si="11"/>
        <v>21.400000000000073</v>
      </c>
      <c r="E216" s="14">
        <f t="shared" si="13"/>
        <v>0.05</v>
      </c>
      <c r="H216">
        <f t="shared" si="12"/>
        <v>21.400000000000073</v>
      </c>
      <c r="K216" s="14">
        <f t="shared" si="14"/>
        <v>8.7499999999999994E-2</v>
      </c>
    </row>
    <row r="217" spans="1:11">
      <c r="A217">
        <f t="shared" si="11"/>
        <v>21.500000000000075</v>
      </c>
      <c r="E217" s="14">
        <f t="shared" si="13"/>
        <v>0.05</v>
      </c>
      <c r="H217">
        <f t="shared" si="12"/>
        <v>21.500000000000075</v>
      </c>
      <c r="K217" s="14">
        <v>0.09</v>
      </c>
    </row>
    <row r="218" spans="1:11">
      <c r="A218">
        <f t="shared" si="11"/>
        <v>21.600000000000076</v>
      </c>
      <c r="E218" s="14">
        <f t="shared" si="13"/>
        <v>0.05</v>
      </c>
      <c r="H218">
        <f t="shared" si="12"/>
        <v>21.600000000000076</v>
      </c>
      <c r="K218" s="14">
        <f t="shared" si="14"/>
        <v>0.09</v>
      </c>
    </row>
    <row r="219" spans="1:11">
      <c r="A219">
        <f t="shared" si="11"/>
        <v>21.700000000000077</v>
      </c>
      <c r="E219" s="14">
        <f t="shared" si="13"/>
        <v>0.05</v>
      </c>
      <c r="H219">
        <f t="shared" si="12"/>
        <v>21.700000000000077</v>
      </c>
      <c r="K219" s="14">
        <f t="shared" ref="K219:K256" si="15">+K218</f>
        <v>0.09</v>
      </c>
    </row>
    <row r="220" spans="1:11">
      <c r="A220">
        <f>+A219+0.1</f>
        <v>21.800000000000079</v>
      </c>
      <c r="E220" s="14">
        <f t="shared" si="13"/>
        <v>0.05</v>
      </c>
      <c r="H220">
        <f>+H219+0.1</f>
        <v>21.800000000000079</v>
      </c>
      <c r="K220" s="14">
        <f t="shared" si="15"/>
        <v>0.09</v>
      </c>
    </row>
    <row r="221" spans="1:11">
      <c r="A221">
        <f>+A220+0.1</f>
        <v>21.90000000000008</v>
      </c>
      <c r="E221" s="14">
        <f t="shared" si="13"/>
        <v>0.05</v>
      </c>
      <c r="H221">
        <f>+H220+0.1</f>
        <v>21.90000000000008</v>
      </c>
      <c r="K221" s="14">
        <f t="shared" si="15"/>
        <v>0.09</v>
      </c>
    </row>
    <row r="222" spans="1:11">
      <c r="A222">
        <f>+A221+0.1</f>
        <v>22.000000000000082</v>
      </c>
      <c r="E222" s="14">
        <f t="shared" si="13"/>
        <v>0.05</v>
      </c>
      <c r="H222">
        <f>+H221+0.1</f>
        <v>22.000000000000082</v>
      </c>
      <c r="K222" s="14">
        <v>9.2499999999999999E-2</v>
      </c>
    </row>
    <row r="223" spans="1:11">
      <c r="A223">
        <f>+A222+0.1</f>
        <v>22.100000000000083</v>
      </c>
      <c r="E223" s="14">
        <f t="shared" si="13"/>
        <v>0.05</v>
      </c>
      <c r="H223">
        <f>+H222+0.1</f>
        <v>22.100000000000083</v>
      </c>
      <c r="K223" s="14">
        <f t="shared" si="15"/>
        <v>9.2499999999999999E-2</v>
      </c>
    </row>
    <row r="224" spans="1:11">
      <c r="A224">
        <f>+A223+0.1</f>
        <v>22.200000000000085</v>
      </c>
      <c r="E224" s="14">
        <f t="shared" si="13"/>
        <v>0.05</v>
      </c>
      <c r="H224">
        <f>+H223+0.1</f>
        <v>22.200000000000085</v>
      </c>
      <c r="K224" s="14">
        <f t="shared" si="15"/>
        <v>9.2499999999999999E-2</v>
      </c>
    </row>
    <row r="225" spans="8:11">
      <c r="H225">
        <f t="shared" ref="H225:H257" si="16">+H224+0.1</f>
        <v>22.300000000000086</v>
      </c>
      <c r="K225" s="14">
        <f t="shared" si="15"/>
        <v>9.2499999999999999E-2</v>
      </c>
    </row>
    <row r="226" spans="8:11">
      <c r="H226">
        <f t="shared" si="16"/>
        <v>22.400000000000087</v>
      </c>
      <c r="K226" s="14">
        <f t="shared" si="15"/>
        <v>9.2499999999999999E-2</v>
      </c>
    </row>
    <row r="227" spans="8:11">
      <c r="H227">
        <f t="shared" si="16"/>
        <v>22.500000000000089</v>
      </c>
      <c r="K227" s="14">
        <v>9.5000000000000001E-2</v>
      </c>
    </row>
    <row r="228" spans="8:11">
      <c r="H228">
        <f t="shared" si="16"/>
        <v>22.60000000000009</v>
      </c>
      <c r="K228" s="14">
        <f t="shared" si="15"/>
        <v>9.5000000000000001E-2</v>
      </c>
    </row>
    <row r="229" spans="8:11">
      <c r="H229">
        <f t="shared" si="16"/>
        <v>22.700000000000092</v>
      </c>
      <c r="K229" s="14">
        <f t="shared" si="15"/>
        <v>9.5000000000000001E-2</v>
      </c>
    </row>
    <row r="230" spans="8:11">
      <c r="H230">
        <f t="shared" si="16"/>
        <v>22.800000000000093</v>
      </c>
      <c r="K230" s="14">
        <f t="shared" si="15"/>
        <v>9.5000000000000001E-2</v>
      </c>
    </row>
    <row r="231" spans="8:11">
      <c r="H231">
        <f t="shared" si="16"/>
        <v>22.900000000000095</v>
      </c>
      <c r="K231" s="14">
        <f t="shared" si="15"/>
        <v>9.5000000000000001E-2</v>
      </c>
    </row>
    <row r="232" spans="8:11">
      <c r="H232">
        <f t="shared" si="16"/>
        <v>23.000000000000096</v>
      </c>
      <c r="K232" s="14">
        <v>9.7500000000000003E-2</v>
      </c>
    </row>
    <row r="233" spans="8:11">
      <c r="H233">
        <f t="shared" si="16"/>
        <v>23.100000000000097</v>
      </c>
      <c r="K233" s="14">
        <f t="shared" si="15"/>
        <v>9.7500000000000003E-2</v>
      </c>
    </row>
    <row r="234" spans="8:11">
      <c r="H234">
        <f t="shared" si="16"/>
        <v>23.200000000000099</v>
      </c>
      <c r="K234" s="14">
        <f t="shared" si="15"/>
        <v>9.7500000000000003E-2</v>
      </c>
    </row>
    <row r="235" spans="8:11">
      <c r="H235">
        <f t="shared" si="16"/>
        <v>23.3000000000001</v>
      </c>
      <c r="K235" s="14">
        <f t="shared" si="15"/>
        <v>9.7500000000000003E-2</v>
      </c>
    </row>
    <row r="236" spans="8:11">
      <c r="H236">
        <f t="shared" si="16"/>
        <v>23.400000000000102</v>
      </c>
      <c r="K236" s="14">
        <f t="shared" si="15"/>
        <v>9.7500000000000003E-2</v>
      </c>
    </row>
    <row r="237" spans="8:11">
      <c r="H237">
        <f t="shared" si="16"/>
        <v>23.500000000000103</v>
      </c>
      <c r="K237" s="14">
        <v>0.1</v>
      </c>
    </row>
    <row r="238" spans="8:11">
      <c r="H238">
        <f t="shared" si="16"/>
        <v>23.600000000000104</v>
      </c>
      <c r="K238" s="14">
        <f t="shared" si="15"/>
        <v>0.1</v>
      </c>
    </row>
    <row r="239" spans="8:11">
      <c r="H239">
        <f t="shared" si="16"/>
        <v>23.700000000000106</v>
      </c>
      <c r="K239" s="14">
        <f t="shared" si="15"/>
        <v>0.1</v>
      </c>
    </row>
    <row r="240" spans="8:11">
      <c r="H240">
        <f t="shared" si="16"/>
        <v>23.800000000000107</v>
      </c>
      <c r="K240" s="14">
        <f t="shared" si="15"/>
        <v>0.1</v>
      </c>
    </row>
    <row r="241" spans="8:11">
      <c r="H241">
        <f t="shared" si="16"/>
        <v>23.900000000000109</v>
      </c>
      <c r="K241" s="14">
        <f t="shared" si="15"/>
        <v>0.1</v>
      </c>
    </row>
    <row r="242" spans="8:11">
      <c r="H242">
        <f t="shared" si="16"/>
        <v>24.00000000000011</v>
      </c>
      <c r="K242" s="14">
        <v>0.10249999999999999</v>
      </c>
    </row>
    <row r="243" spans="8:11">
      <c r="H243">
        <f t="shared" si="16"/>
        <v>24.100000000000112</v>
      </c>
      <c r="K243" s="14">
        <f t="shared" si="15"/>
        <v>0.10249999999999999</v>
      </c>
    </row>
    <row r="244" spans="8:11">
      <c r="H244">
        <f t="shared" si="16"/>
        <v>24.200000000000113</v>
      </c>
      <c r="K244" s="14">
        <f t="shared" si="15"/>
        <v>0.10249999999999999</v>
      </c>
    </row>
    <row r="245" spans="8:11">
      <c r="H245">
        <f t="shared" si="16"/>
        <v>24.300000000000114</v>
      </c>
      <c r="K245" s="14">
        <f t="shared" si="15"/>
        <v>0.10249999999999999</v>
      </c>
    </row>
    <row r="246" spans="8:11">
      <c r="H246">
        <f t="shared" si="16"/>
        <v>24.400000000000116</v>
      </c>
      <c r="K246" s="14">
        <f t="shared" si="15"/>
        <v>0.10249999999999999</v>
      </c>
    </row>
    <row r="247" spans="8:11">
      <c r="H247">
        <f t="shared" si="16"/>
        <v>24.500000000000117</v>
      </c>
      <c r="K247" s="14">
        <v>0.105</v>
      </c>
    </row>
    <row r="248" spans="8:11">
      <c r="H248">
        <f t="shared" si="16"/>
        <v>24.600000000000119</v>
      </c>
      <c r="K248" s="14">
        <f t="shared" si="15"/>
        <v>0.105</v>
      </c>
    </row>
    <row r="249" spans="8:11">
      <c r="H249">
        <f t="shared" si="16"/>
        <v>24.70000000000012</v>
      </c>
      <c r="K249" s="14">
        <f t="shared" si="15"/>
        <v>0.105</v>
      </c>
    </row>
    <row r="250" spans="8:11">
      <c r="H250">
        <f t="shared" si="16"/>
        <v>24.800000000000122</v>
      </c>
      <c r="K250" s="14">
        <f t="shared" si="15"/>
        <v>0.105</v>
      </c>
    </row>
    <row r="251" spans="8:11">
      <c r="H251">
        <f t="shared" si="16"/>
        <v>24.900000000000123</v>
      </c>
      <c r="K251" s="14">
        <f t="shared" si="15"/>
        <v>0.105</v>
      </c>
    </row>
    <row r="252" spans="8:11">
      <c r="H252">
        <f t="shared" si="16"/>
        <v>25.000000000000124</v>
      </c>
      <c r="K252" s="14">
        <v>0.1075</v>
      </c>
    </row>
    <row r="253" spans="8:11">
      <c r="H253">
        <f t="shared" si="16"/>
        <v>25.100000000000126</v>
      </c>
      <c r="K253" s="14">
        <f t="shared" si="15"/>
        <v>0.1075</v>
      </c>
    </row>
    <row r="254" spans="8:11">
      <c r="H254">
        <f t="shared" si="16"/>
        <v>25.200000000000127</v>
      </c>
      <c r="K254" s="14">
        <f t="shared" si="15"/>
        <v>0.1075</v>
      </c>
    </row>
    <row r="255" spans="8:11">
      <c r="H255">
        <f t="shared" si="16"/>
        <v>25.300000000000129</v>
      </c>
      <c r="K255" s="14">
        <f t="shared" si="15"/>
        <v>0.1075</v>
      </c>
    </row>
    <row r="256" spans="8:11">
      <c r="H256">
        <f t="shared" si="16"/>
        <v>25.40000000000013</v>
      </c>
      <c r="K256" s="14">
        <f t="shared" si="15"/>
        <v>0.1075</v>
      </c>
    </row>
    <row r="257" spans="8:11">
      <c r="H257">
        <f t="shared" si="16"/>
        <v>25.500000000000131</v>
      </c>
      <c r="K257" s="14">
        <v>0.11</v>
      </c>
    </row>
  </sheetData>
  <sheetProtection sheet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Navngivne områder</vt:lpstr>
      </vt:variant>
      <vt:variant>
        <vt:i4>2</vt:i4>
      </vt:variant>
    </vt:vector>
  </HeadingPairs>
  <TitlesOfParts>
    <vt:vector size="12" baseType="lpstr">
      <vt:lpstr>framsíða</vt:lpstr>
      <vt:lpstr>Útrokning</vt:lpstr>
      <vt:lpstr>notir</vt:lpstr>
      <vt:lpstr>2020</vt:lpstr>
      <vt:lpstr>2021</vt:lpstr>
      <vt:lpstr>2022</vt:lpstr>
      <vt:lpstr>virðisøking</vt:lpstr>
      <vt:lpstr>Ark3</vt:lpstr>
      <vt:lpstr>Tilfeingisgjald</vt:lpstr>
      <vt:lpstr>Ark2</vt:lpstr>
      <vt:lpstr>tilfgjald</vt:lpstr>
      <vt:lpstr>Útrokning!Udskriftsområde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Árni M. Dam</dc:creator>
  <cp:lastModifiedBy>Jóan Pauli Dahl Jakobsen</cp:lastModifiedBy>
  <cp:lastPrinted>2023-03-06T22:18:55Z</cp:lastPrinted>
  <dcterms:created xsi:type="dcterms:W3CDTF">2022-04-28T15:08:14Z</dcterms:created>
  <dcterms:modified xsi:type="dcterms:W3CDTF">2023-05-04T07:43:18Z</dcterms:modified>
</cp:coreProperties>
</file>